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Box\Box\RY9G\Compliant 508 documents\"/>
    </mc:Choice>
  </mc:AlternateContent>
  <xr:revisionPtr revIDLastSave="0" documentId="8_{5AECECCE-8559-41D2-B065-93B515258645}" xr6:coauthVersionLast="47" xr6:coauthVersionMax="47" xr10:uidLastSave="{00000000-0000-0000-0000-000000000000}"/>
  <bookViews>
    <workbookView xWindow="-110" yWindow="-110" windowWidth="19420" windowHeight="10420" xr2:uid="{853265A0-EBD7-408C-9D50-258FFAF50320}"/>
  </bookViews>
  <sheets>
    <sheet name="Information About This File" sheetId="4" r:id="rId1"/>
    <sheet name="Exhibit 1 - PPCP Variables" sheetId="2" r:id="rId2"/>
    <sheet name="Exhibit 2 - PPCP Build" sheetId="1" r:id="rId3"/>
    <sheet name="Exhibit 3 - Enhancement Offset" sheetId="3" r:id="rId4"/>
  </sheets>
  <definedNames>
    <definedName name="_xlnm.Print_Area" localSheetId="1">'Exhibit 1 - PPCP Variables'!$B$1:$F$14</definedName>
    <definedName name="_xlnm.Print_Area" localSheetId="3">'Exhibit 3 - Enhancement Offset'!$B$1:$F$15</definedName>
    <definedName name="_xlnm.Print_Area" localSheetId="0">'Information About This File'!$B$1:$B$20</definedName>
    <definedName name="_xlnm.Print_Titles" localSheetId="2">'Exhibit 2 - PPCP Build'!$1:$1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B35" i="1"/>
  <c r="B28" i="1"/>
  <c r="D48" i="1"/>
  <c r="H41" i="1"/>
  <c r="C48" i="1" s="1"/>
  <c r="C34" i="1"/>
  <c r="C20" i="1"/>
  <c r="F29" i="1"/>
  <c r="F28" i="1"/>
  <c r="F22" i="1"/>
  <c r="F21" i="1"/>
  <c r="F20" i="1"/>
  <c r="F27" i="1" s="1"/>
  <c r="G7" i="1"/>
  <c r="H7" i="1" s="1"/>
  <c r="D11" i="3"/>
  <c r="E22" i="1"/>
  <c r="E29" i="1" s="1"/>
  <c r="E21" i="1"/>
  <c r="E28" i="1" s="1"/>
  <c r="E20" i="1"/>
  <c r="E27" i="1" s="1"/>
  <c r="G14" i="1"/>
  <c r="D14" i="1"/>
  <c r="C5" i="1"/>
  <c r="C14" i="1" s="1"/>
  <c r="C4" i="1"/>
  <c r="D4" i="1" s="1"/>
  <c r="E4" i="1" s="1"/>
  <c r="F4" i="1" s="1"/>
  <c r="G4" i="1" s="1"/>
  <c r="H4" i="1" l="1"/>
  <c r="D5" i="1"/>
  <c r="E5" i="1" s="1"/>
  <c r="F5" i="1" l="1"/>
  <c r="G5" i="1" s="1"/>
  <c r="H5" i="1" s="1"/>
  <c r="B31" i="1"/>
  <c r="B38" i="1" s="1"/>
  <c r="B45" i="1"/>
  <c r="G21" i="1"/>
  <c r="G28" i="1" s="1"/>
  <c r="D21" i="1"/>
  <c r="D28" i="1" s="1"/>
  <c r="C21" i="1"/>
  <c r="D2" i="1"/>
  <c r="E2" i="1" s="1"/>
  <c r="F2" i="1" s="1"/>
  <c r="H3" i="1"/>
  <c r="B5" i="1"/>
  <c r="H13" i="1"/>
  <c r="C16" i="1"/>
  <c r="C23" i="1" s="1"/>
  <c r="C30" i="1" s="1"/>
  <c r="C27" i="1"/>
  <c r="D20" i="1"/>
  <c r="D27" i="1" s="1"/>
  <c r="G20" i="1"/>
  <c r="G27" i="1" s="1"/>
  <c r="C22" i="1"/>
  <c r="C29" i="1" s="1"/>
  <c r="D22" i="1"/>
  <c r="D29" i="1" s="1"/>
  <c r="G22" i="1"/>
  <c r="G29" i="1" s="1"/>
  <c r="B27" i="1"/>
  <c r="B34" i="1" s="1"/>
  <c r="B29" i="1"/>
  <c r="B30" i="1"/>
  <c r="G2" i="1" l="1"/>
  <c r="F34" i="1"/>
  <c r="F35" i="1"/>
  <c r="F45" i="1" s="1"/>
  <c r="F36" i="1"/>
  <c r="H2" i="1"/>
  <c r="E36" i="1"/>
  <c r="E34" i="1"/>
  <c r="E35" i="1"/>
  <c r="E45" i="1" s="1"/>
  <c r="H46" i="1"/>
  <c r="D35" i="1"/>
  <c r="D45" i="1" s="1"/>
  <c r="G35" i="1"/>
  <c r="G45" i="1" s="1"/>
  <c r="C36" i="1"/>
  <c r="C37" i="1"/>
  <c r="G36" i="1"/>
  <c r="G47" i="1" s="1"/>
  <c r="D34" i="1"/>
  <c r="D44" i="1" s="1"/>
  <c r="G34" i="1"/>
  <c r="D36" i="1"/>
  <c r="D47" i="1" s="1"/>
  <c r="D16" i="1"/>
  <c r="B36" i="1"/>
  <c r="B47" i="1" s="1"/>
  <c r="B37" i="1"/>
  <c r="B48" i="1" s="1"/>
  <c r="H21" i="1"/>
  <c r="C28" i="1"/>
  <c r="C24" i="1"/>
  <c r="H49" i="1"/>
  <c r="B44" i="1"/>
  <c r="C17" i="1"/>
  <c r="H14" i="1"/>
  <c r="H8" i="1"/>
  <c r="H29" i="1"/>
  <c r="H20" i="1"/>
  <c r="H27" i="1"/>
  <c r="H22" i="1"/>
  <c r="H15" i="1"/>
  <c r="F47" i="1" l="1"/>
  <c r="F44" i="1"/>
  <c r="D23" i="1"/>
  <c r="D30" i="1" s="1"/>
  <c r="D31" i="1" s="1"/>
  <c r="E16" i="1"/>
  <c r="F16" i="1" s="1"/>
  <c r="E44" i="1"/>
  <c r="E47" i="1"/>
  <c r="D17" i="1"/>
  <c r="D37" i="1"/>
  <c r="H36" i="1"/>
  <c r="G44" i="1"/>
  <c r="H28" i="1"/>
  <c r="C35" i="1"/>
  <c r="C31" i="1"/>
  <c r="C44" i="1"/>
  <c r="H34" i="1"/>
  <c r="F23" i="1" l="1"/>
  <c r="F17" i="1"/>
  <c r="D24" i="1"/>
  <c r="E23" i="1"/>
  <c r="E17" i="1"/>
  <c r="G16" i="1"/>
  <c r="G23" i="1" s="1"/>
  <c r="G30" i="1" s="1"/>
  <c r="G31" i="1" s="1"/>
  <c r="D38" i="1"/>
  <c r="H23" i="1"/>
  <c r="H24" i="1" s="1"/>
  <c r="H16" i="1"/>
  <c r="H17" i="1" s="1"/>
  <c r="G17" i="1"/>
  <c r="H35" i="1"/>
  <c r="C45" i="1"/>
  <c r="H45" i="1" s="1"/>
  <c r="C38" i="1"/>
  <c r="H44" i="1"/>
  <c r="C40" i="1"/>
  <c r="C47" i="1"/>
  <c r="D40" i="1"/>
  <c r="G24" i="1" l="1"/>
  <c r="F30" i="1"/>
  <c r="F24" i="1"/>
  <c r="G37" i="1"/>
  <c r="G38" i="1" s="1"/>
  <c r="E30" i="1"/>
  <c r="E24" i="1"/>
  <c r="H47" i="1"/>
  <c r="F37" i="1" l="1"/>
  <c r="F31" i="1"/>
  <c r="G40" i="1"/>
  <c r="E37" i="1"/>
  <c r="E31" i="1"/>
  <c r="H30" i="1"/>
  <c r="H31" i="1" s="1"/>
  <c r="F40" i="1" l="1"/>
  <c r="F38" i="1"/>
  <c r="E38" i="1"/>
  <c r="E40" i="1"/>
  <c r="H40" i="1" s="1"/>
  <c r="F48" i="1" s="1"/>
  <c r="H37" i="1"/>
  <c r="H38" i="1" s="1"/>
  <c r="F50" i="1" l="1"/>
  <c r="F53" i="1"/>
  <c r="G48" i="1"/>
  <c r="E48" i="1"/>
  <c r="G53" i="1" l="1"/>
  <c r="G50" i="1"/>
  <c r="E53" i="1"/>
  <c r="E50" i="1"/>
  <c r="C53" i="1"/>
  <c r="H48" i="1"/>
  <c r="H53" i="1" s="1"/>
  <c r="D6" i="3" s="1"/>
  <c r="D13" i="3" s="1"/>
  <c r="D15" i="3" s="1"/>
  <c r="C50" i="1"/>
  <c r="D53" i="1"/>
  <c r="D50" i="1"/>
  <c r="H50" i="1" l="1"/>
</calcChain>
</file>

<file path=xl/sharedStrings.xml><?xml version="1.0" encoding="utf-8"?>
<sst xmlns="http://schemas.openxmlformats.org/spreadsheetml/2006/main" count="276" uniqueCount="206">
  <si>
    <t xml:space="preserve">  Health Equity Adjustment</t>
  </si>
  <si>
    <t>after Allocation of Enhancement Cap</t>
  </si>
  <si>
    <t>Amount in Excess of Enhancement Cap</t>
  </si>
  <si>
    <t>Total Enhancement</t>
  </si>
  <si>
    <t>after PCPAT</t>
  </si>
  <si>
    <t>after PCOA Adjustment</t>
  </si>
  <si>
    <t xml:space="preserve">  Flex Enhancement</t>
  </si>
  <si>
    <t xml:space="preserve">  County Base Rate</t>
  </si>
  <si>
    <t>after Risk Adjustment</t>
  </si>
  <si>
    <t xml:space="preserve">  </t>
  </si>
  <si>
    <t>Flex Enhancement @ 1.0</t>
  </si>
  <si>
    <t>County Enhancement @ 1.0</t>
  </si>
  <si>
    <t>County Base Rate @ 1.0</t>
  </si>
  <si>
    <t>N</t>
  </si>
  <si>
    <t>Y</t>
  </si>
  <si>
    <t>Risk Adjustment Factor</t>
  </si>
  <si>
    <t>PCOA Adjustment</t>
  </si>
  <si>
    <t>Cap on Enhancement</t>
  </si>
  <si>
    <t>PCPAT</t>
  </si>
  <si>
    <t>ACO</t>
  </si>
  <si>
    <t>Bene 3</t>
  </si>
  <si>
    <t>Bene 2</t>
  </si>
  <si>
    <t>Bene 1</t>
  </si>
  <si>
    <t>Allocated Amount in Excess of Cap</t>
  </si>
  <si>
    <t>$200 PBPY</t>
  </si>
  <si>
    <t>Model</t>
  </si>
  <si>
    <t>Beneficiary</t>
  </si>
  <si>
    <t>Health Equity Adjustment</t>
  </si>
  <si>
    <t>Primary Care Prospective Administrative Trend (PCPAT)</t>
  </si>
  <si>
    <t>Primary Care Outside of ACO (PCOA) Adjustment Factor</t>
  </si>
  <si>
    <t>CMS-HCC Model</t>
  </si>
  <si>
    <t>$125 PBPY</t>
  </si>
  <si>
    <t>County</t>
  </si>
  <si>
    <t>Note</t>
  </si>
  <si>
    <t>Element</t>
  </si>
  <si>
    <t xml:space="preserve">  Total @ 1.0</t>
  </si>
  <si>
    <t xml:space="preserve">    Total</t>
  </si>
  <si>
    <t>Unique Rates for ESRD and Non-ESRD</t>
  </si>
  <si>
    <t>RFA Section(s)</t>
  </si>
  <si>
    <t>A</t>
  </si>
  <si>
    <t>C</t>
  </si>
  <si>
    <t>B</t>
  </si>
  <si>
    <t>D</t>
  </si>
  <si>
    <t>E</t>
  </si>
  <si>
    <t>F</t>
  </si>
  <si>
    <t>G</t>
  </si>
  <si>
    <t>H</t>
  </si>
  <si>
    <t>I</t>
  </si>
  <si>
    <t>J</t>
  </si>
  <si>
    <t>K</t>
  </si>
  <si>
    <t>L = C or D if applicable</t>
  </si>
  <si>
    <t>M</t>
  </si>
  <si>
    <t>O = K + L + M +N</t>
  </si>
  <si>
    <t>P = K x G</t>
  </si>
  <si>
    <t>Q = L x G</t>
  </si>
  <si>
    <t>R = M x G</t>
  </si>
  <si>
    <t>S = N x G</t>
  </si>
  <si>
    <t>T = P + Q + R + S</t>
  </si>
  <si>
    <t>U = P x E</t>
  </si>
  <si>
    <t>V = Q x E</t>
  </si>
  <si>
    <t>W = R x E</t>
  </si>
  <si>
    <t>Z = U + V + W + Y</t>
  </si>
  <si>
    <t>AA = U x A</t>
  </si>
  <si>
    <t>AB = V x A</t>
  </si>
  <si>
    <t>AC = W x A</t>
  </si>
  <si>
    <t>AD = Y x A</t>
  </si>
  <si>
    <t>AE = AA + AB + AC + AD</t>
  </si>
  <si>
    <t>AF = AC + AD</t>
  </si>
  <si>
    <t>AH = AA</t>
  </si>
  <si>
    <t>AI = AB</t>
  </si>
  <si>
    <t>AJ</t>
  </si>
  <si>
    <t xml:space="preserve">  County Enhancement</t>
  </si>
  <si>
    <t>AK = AC</t>
  </si>
  <si>
    <t>AL = AD - AG</t>
  </si>
  <si>
    <t>AG = max(AF - B, 0)</t>
  </si>
  <si>
    <t>AM</t>
  </si>
  <si>
    <t>AN = AH + AI + AJ + AK + AL + AM</t>
  </si>
  <si>
    <t>AO = AK + AL</t>
  </si>
  <si>
    <t>Description</t>
  </si>
  <si>
    <t>est $249 PBPY</t>
  </si>
  <si>
    <t>est $256 PBPY</t>
  </si>
  <si>
    <t>+/- $3 PBPM</t>
  </si>
  <si>
    <t>Bene 4</t>
  </si>
  <si>
    <t>Enrollment Type (Rate Book)</t>
  </si>
  <si>
    <t>Aged/Dual (Non-ESRD)</t>
  </si>
  <si>
    <t>Aged/Non-Dual (Non-ESRD)</t>
  </si>
  <si>
    <t>ESRD (ESRD)</t>
  </si>
  <si>
    <t>The Primary Care Prospective Administrative Trend.</t>
  </si>
  <si>
    <t>The maximum value of the enhancements (County &amp; Flex, after adjustments).</t>
  </si>
  <si>
    <t>The ACO's individual adjustment for Primary Care Outside of ACO.</t>
  </si>
  <si>
    <t>The beneficiary's normalized CMS-HCC risk score.</t>
  </si>
  <si>
    <t>The beneficiary's Enrollment Type and relevant Rate Book.</t>
  </si>
  <si>
    <t>Flag to indicate that beneficiary received the plurality of primary care services at an FQHC.</t>
  </si>
  <si>
    <t>Flag to indicate that beneficiary received the plurality of primary care services at an RHC.</t>
  </si>
  <si>
    <t>The Flex Enhancement PBPY amount, $125, divided by 12 months.</t>
  </si>
  <si>
    <t>The sum total of the PPCP at risk score of 1.0, before adjustments.</t>
  </si>
  <si>
    <t>The CMS-HCC risk adjusted County Base Rate.</t>
  </si>
  <si>
    <t>The CMS-HCC risk adjusted County Enhancement.</t>
  </si>
  <si>
    <t>The CMS-HCC risk adjusted Flex Enhancement.</t>
  </si>
  <si>
    <t>The sum  total of the PPCP after risk adjustment, before PCOA adjustment and trend.</t>
  </si>
  <si>
    <t>The County Base Rate, adjusted for clinical risk (CMS-HCC) and PCOA.</t>
  </si>
  <si>
    <t>PCOA = Primary Care Outside of ACO.</t>
  </si>
  <si>
    <t>The County Enhancement, adjusted for clinical risk (CMS-HCC) and PCOA.</t>
  </si>
  <si>
    <t>PCPAT = Primary Care Prospective Administrative Trend</t>
  </si>
  <si>
    <t>The County Base Rate, adjusted for clinical risk (CMS-HCC) and PCOA, trended to performance year.</t>
  </si>
  <si>
    <t>The County Enhancement, adjusted for clinical risk (CMS-HCC) and PCOA, trended to performance year.</t>
  </si>
  <si>
    <t>The combined value of the County Enhancement and the Flex Enhancement, after adjustments and trend.</t>
  </si>
  <si>
    <t>The positive difference between the ACO's weight average Total Enhancement and the maximum value of Total Enhancement.</t>
  </si>
  <si>
    <t>The allocated value of additional payment made under the guardrail for beneficiaries who receive the plurality of primary care services at FQHCs or RHCs.</t>
  </si>
  <si>
    <t>The Health Equity Adjustment to the PPCP</t>
  </si>
  <si>
    <t>Total PPCP Payment bf Sequestration and Payment Precision Withhold</t>
  </si>
  <si>
    <t>The total PPCP payment before Sequestration and Payment Precision Withhold</t>
  </si>
  <si>
    <t>ACO Weighted Average</t>
  </si>
  <si>
    <t>Y = S</t>
  </si>
  <si>
    <t>The PCOA adjustment is not applied to the Flex Enhancement.</t>
  </si>
  <si>
    <t>Calculated for each ACO based on a historical period</t>
  </si>
  <si>
    <t>Calculated YTD for each ACO</t>
  </si>
  <si>
    <t>Indicates the beneficiary received the plurality of primary care services at an FQHC</t>
  </si>
  <si>
    <t>Indicates the beneficiary received the plurality of primary care services at an RHC</t>
  </si>
  <si>
    <t>Total Assigned Beneficiary Months</t>
  </si>
  <si>
    <t>Total PPCP Eligible Beneficiary Months</t>
  </si>
  <si>
    <t>F = Max (D, E)</t>
  </si>
  <si>
    <t>G = C - F</t>
  </si>
  <si>
    <t>Total Enhancement Credit to Settlement after offset for Positive Regional Adjustment and Prior Savings Adjustment PBPM</t>
  </si>
  <si>
    <t>Total Enhancement subject to offset by the greater of prior savings adjustment and positive regional adjustment at settlement PBPM</t>
  </si>
  <si>
    <t>Positive Regional Adjustment to Benchmark PBPM</t>
  </si>
  <si>
    <t>Prior Savings Adjustment to Benchmark PBPM</t>
  </si>
  <si>
    <t>Maximum of Positive Regional Adjustment and Prior Savings Adjustment PBPM</t>
  </si>
  <si>
    <t>H = G x B</t>
  </si>
  <si>
    <t>All Other Benes</t>
  </si>
  <si>
    <t>Total Enhancement Credit to Settlement after offset for Positive Regional Adjustment and Prior Savings Adjustment dollars</t>
  </si>
  <si>
    <t>The Regional Adjustment Expressed as a Single Value ($) from Table 1A - Regional Adjustment in Shared Savings Program Benchmark Report divided by 12</t>
  </si>
  <si>
    <t>The Prior Savings Adjustment ($) from Table 1B - Prior Savings Adj in Shared Savings Program Benchmark Report divided by 12</t>
  </si>
  <si>
    <t>The result of the overall ACO calculation described in the PPCP Build tab of this workbook.</t>
  </si>
  <si>
    <t>The total number of assigned beneficiary-months for the ACO for the performance year.</t>
  </si>
  <si>
    <t>The greater of the positive regional adjustment and the prior savings adjustment, i.e. offset amount.</t>
  </si>
  <si>
    <t>The difference between the Total Enhancement and the offset amount.</t>
  </si>
  <si>
    <t>The PBPM Total Enhancement Credit to Settlement multiplied by the total number of PPCP eligible beneficiary-months assigned to the ACO for the performance year.</t>
  </si>
  <si>
    <t>Example</t>
  </si>
  <si>
    <t>IV.C.iv</t>
  </si>
  <si>
    <t>IV.C.ii.b</t>
  </si>
  <si>
    <t>IV.C.iii.c</t>
  </si>
  <si>
    <t>IV.C.iii.d</t>
  </si>
  <si>
    <t>IV.C.iii.b</t>
  </si>
  <si>
    <t>IV.C.ii.a</t>
  </si>
  <si>
    <t>IV.C.iiii.f</t>
  </si>
  <si>
    <t>IV.C.iii.a</t>
  </si>
  <si>
    <t>IV.A</t>
  </si>
  <si>
    <t>IV.C.iii.f</t>
  </si>
  <si>
    <t>Total Enhancement subject to offset by the greater of positive regional adjustment and prior savings adjustment at settlement</t>
  </si>
  <si>
    <t>PY 2025 Values Status</t>
  </si>
  <si>
    <t>Current value ($125 PBPY) is final.</t>
  </si>
  <si>
    <t>Current value ($200 PBPY) is final.</t>
  </si>
  <si>
    <t>Logic to determine flag is final.</t>
  </si>
  <si>
    <t>CMS-HCC Model version / blend is final.</t>
  </si>
  <si>
    <t>2025 PCPAT will be calculated late 2024.</t>
  </si>
  <si>
    <t>Finalize Summer 2024 with Rate Book.</t>
  </si>
  <si>
    <t>Logic to calculate is final.</t>
  </si>
  <si>
    <t>Calculated at ACO level throughout performance year.</t>
  </si>
  <si>
    <t>The County Base Rate in relevant Rate Book (ESRD or Non-ESRD) for the county of residence of the beneficiary month.</t>
  </si>
  <si>
    <t>The County Enhancement, if any, in relevant Rate Book (ESRD or Non-ESRD) for the county of residence of the beneficiary month.</t>
  </si>
  <si>
    <t>The sum total of the PPCP after clinical risk adjustment and PCOA, before trend.</t>
  </si>
  <si>
    <t>The sum total of the PPCP after clinical risk adjustment and PCOA, after trend.</t>
  </si>
  <si>
    <t>Total Enhancement subject to offset by the greater of prior savings adjustment and positive regional adjustment at settlement. See "Enhancement Offset" tab for example calculation of the offset and resulting credit to settlement.</t>
  </si>
  <si>
    <t>The total number of PPCP eligible assigned beneficiary-months for the ACO for the performance year.  Includes beneficiaries assigned via "Step 1" or "Step 3" only.</t>
  </si>
  <si>
    <t>Variable Type</t>
  </si>
  <si>
    <t>Beneficiary with FQHC-Focused Care</t>
  </si>
  <si>
    <t>Beneficiary with RHC-Focused Care</t>
  </si>
  <si>
    <t>The Flex Enhancement, adjusted for clinical risk (CMS-HCC), trended to performance year.</t>
  </si>
  <si>
    <t>The Flex Enhancement, adjusted for clinical risk (CMS-HCC), trended to performance year, less the Amount in Excess of Enhancement Cap.</t>
  </si>
  <si>
    <t>The add-on for beneficiaries with FQHC or RHC focused care if beneficiary flagged  in row I or J.</t>
  </si>
  <si>
    <t>The fixed PBPM add-on for beneficiaries who received the plurality of primary care services at an FQHC.</t>
  </si>
  <si>
    <t>The fixed PBPM add-on for beneficiaries who received the plurality of primary care services at an RHC.</t>
  </si>
  <si>
    <t>The CMS-HCC risk adjusted add-on for beneficiaries who received the plurality of primary care services at an FQHC or RHC.</t>
  </si>
  <si>
    <t>The add-on for beneficiaries who received the plurality of care at an FQHC or RHC, adjusted for clinical risk (CMS-HCC) and PCOA.</t>
  </si>
  <si>
    <t>The add-on for beneficiaries who received the plurality of care at an FQHC or RHC, adjusted for clinical risk (CMS-HCC) and PCOA, trended to performance year.</t>
  </si>
  <si>
    <t>IV.C.iii.c, Appendix A</t>
  </si>
  <si>
    <t>PPCP Eligible Bene Months</t>
  </si>
  <si>
    <t>IV.A &amp; IV.C.ii &amp; Appendix A &amp; Appendix E</t>
  </si>
  <si>
    <t>IV.E</t>
  </si>
  <si>
    <t>The number of months the beneficiary was assigned to the PC Flex ACO and was PPCP Eligible.</t>
  </si>
  <si>
    <t>See RFA section IV.E for a narrative description of how this calculation is incorporated into performance year settlement calculations.</t>
  </si>
  <si>
    <t>Additionally, this worksheet calculates the total enhancement subject to offset in row 53, which is used in the subsequent worksheet.</t>
  </si>
  <si>
    <t>From top to bottom, this illustration establishes the variables for the example, then calculates the PPCP, step-by-step.  Column J provides a narrative description of the line items and steps, and column A provides simple formulae references.</t>
  </si>
  <si>
    <t>This worksheet contains illustrative examples of the PPCP calculation for four individual beneficiaries, a large set of other beneficiaries, and the blended total for a hypothetical ACO.</t>
  </si>
  <si>
    <t>Exhibit 2 - PPCP Build</t>
  </si>
  <si>
    <t>Exhibit 1 - PPCP Variables</t>
  </si>
  <si>
    <t>Column K provides RFA section(s) where the relevant step or line item is discussed.</t>
  </si>
  <si>
    <t>Exhibit 3 - Enhancement Offset</t>
  </si>
  <si>
    <t>Column F provides RFA section(s) where the relevant step or line item is discussed.</t>
  </si>
  <si>
    <t>This tab contains a table of the various variables that are used to calculate the PPCP for a particular beneficiary-month.  Each variable has a type to indicate if it is specific to the model as a whole, the individual ACO, or the individual beneficiary. For each of the variables, we have indicated the current status of the variable for performance year 2025 (final or estimated) and when variables are expected to be finalized in advance of the start of performance year 2025. Lastly, we have provided RFA section references for where in the RFA the variable is described or defined.</t>
  </si>
  <si>
    <t>In this example, values for positive regional adjustment to benchmark PBPM (row 8) and prior savings adjustment to benchmark PBPM (row 9) are engineered to illustrate the impact of these variables to the calculation. Each PC Flex ACO will have its own values for these variables included in the benchmark reports.</t>
  </si>
  <si>
    <t>Add-on for Beneficiaries with FQHC/RHC Focused Care @ 1.0</t>
  </si>
  <si>
    <t xml:space="preserve">  Add-on for Beneficiaries with FQHC/RHC Focused Care</t>
  </si>
  <si>
    <t xml:space="preserve">  Allocated Add'l Payment for Beneficiaries with FQHC/RHC Focused Care</t>
  </si>
  <si>
    <t>Add-on for Beneficiaries with FQHC Focused Care</t>
  </si>
  <si>
    <t>Add-on for Beneficiaries with RHC Focused Care</t>
  </si>
  <si>
    <t>ACO PC Flex RFA Exhibits and Example Calculations</t>
  </si>
  <si>
    <t>ACO specific adjustment factors will be calculated Fall of 2024</t>
  </si>
  <si>
    <t>IV.C.iii.c &amp; Appendix A</t>
  </si>
  <si>
    <t>Appendix A &amp; Appendix E</t>
  </si>
  <si>
    <t>IV.E &amp; Appendix A</t>
  </si>
  <si>
    <t>Columns C through F are illustrative of individual beneficiaries. Column F illustrates a general population of thousands to produce an illustration of an ACO of about 10,000 beneficiaries (Column H).</t>
  </si>
  <si>
    <t>This worksheet contains an illustrative example of the Total Enhancement Credit calculation for the hypothetical ACO illustrated in Exhibit 2.</t>
  </si>
  <si>
    <t>From top to bottom, this illustration calculates the Total Enhancement Credit, step-by-step. Column E provides a narrative description of the line items and steps, and column B provides simple formulae references.</t>
  </si>
  <si>
    <t>This file entitled “ACO PC Flex RFA Exhibits and Example Calculations” is referenced in the ACO Primary Care Flex (ACO PC Flex) Model request for applications (RFA). This file includes mathematical examples of how the Prospective Primary Care Payment (PPCP) is calculated at the beneficiary level as well as an example of the enhancement offset calculation that results in the enhancement credit during the performance year settlement process. This file is intended to provide an illustrative example of CMS’ intended financial methodology for the ACO PC Flex Model, as of May 30, 2024. This represents CMS' current conception of the financial methodology for the ACO PC Flex Model.  The finalized financial methodology will be reflected in the ACO PC Flex Participation Agreement that CMS issues in December 2024. All dollar amounts and calculations set forth in this document are strictly illustrative. Payments provided under the ACO PC Flex Model are dependent on the final financial methodology, the applicable ACO, its ACO participants, and its assigned beneficiaries.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</si>
</sst>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000_);_(* \(#,##0.000\);_(* &quot;-&quot;??_);_(@_)"/>
    <numFmt numFmtId="165" formatCode="_(* #,##0_);_(* \(#,##0\);_(*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9"/>
      <color theme="1"/>
      <name val="Segoe UI"/>
      <family val="2"/>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0" fillId="0" borderId="0" xfId="0" applyAlignment="1" applyProtection="1">
      <alignment horizontal="center" vertical="top"/>
      <protection locked="0"/>
    </xf>
    <xf numFmtId="0" fontId="0" fillId="0" borderId="0" xfId="0" applyAlignment="1" applyProtection="1">
      <alignment horizontal="left" vertical="top" wrapText="1"/>
      <protection locked="0"/>
    </xf>
    <xf numFmtId="0" fontId="0" fillId="0" borderId="0" xfId="0" applyProtection="1">
      <protection locked="0"/>
    </xf>
    <xf numFmtId="0" fontId="0" fillId="0" borderId="0" xfId="0" applyAlignment="1" applyProtection="1">
      <alignment vertical="top" wrapText="1"/>
      <protection locked="0"/>
    </xf>
    <xf numFmtId="0" fontId="0" fillId="0" borderId="0" xfId="0" applyAlignment="1" applyProtection="1">
      <alignment vertical="top"/>
      <protection locked="0"/>
    </xf>
    <xf numFmtId="0" fontId="2" fillId="0" borderId="0" xfId="0" applyFont="1" applyProtection="1">
      <protection locked="0"/>
    </xf>
    <xf numFmtId="0" fontId="4" fillId="0" borderId="0" xfId="0" applyFont="1" applyAlignment="1" applyProtection="1">
      <alignment horizontal="left" wrapText="1"/>
      <protection locked="0"/>
    </xf>
    <xf numFmtId="0" fontId="5" fillId="0" borderId="0" xfId="0" applyFont="1" applyProtection="1">
      <protection locked="0"/>
    </xf>
    <xf numFmtId="0" fontId="3" fillId="0" borderId="0" xfId="0" applyFont="1" applyProtection="1">
      <protection locked="0"/>
    </xf>
    <xf numFmtId="0" fontId="0" fillId="0" borderId="0" xfId="0" applyAlignment="1" applyProtection="1">
      <alignment wrapText="1"/>
      <protection locked="0"/>
    </xf>
    <xf numFmtId="0" fontId="6" fillId="0" borderId="0" xfId="0" applyFont="1" applyProtection="1">
      <protection locked="0"/>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3" fillId="2" borderId="2" xfId="0" applyFont="1" applyFill="1" applyBorder="1" applyAlignment="1">
      <alignment horizontal="center" vertical="top" wrapText="1"/>
    </xf>
    <xf numFmtId="0" fontId="0" fillId="0" borderId="2" xfId="0" applyBorder="1" applyAlignment="1">
      <alignment horizontal="left" vertical="top" wrapText="1"/>
    </xf>
    <xf numFmtId="0" fontId="0" fillId="0" borderId="2" xfId="0" applyBorder="1" applyAlignment="1">
      <alignment horizontal="center" vertical="top" wrapText="1"/>
    </xf>
    <xf numFmtId="0" fontId="0" fillId="0" borderId="2" xfId="0" applyBorder="1" applyAlignment="1">
      <alignment horizontal="center" vertical="top"/>
    </xf>
    <xf numFmtId="0" fontId="0" fillId="0" borderId="2" xfId="0" quotePrefix="1" applyBorder="1" applyAlignment="1">
      <alignment horizontal="left" vertical="top" wrapText="1"/>
    </xf>
    <xf numFmtId="0" fontId="0" fillId="0" borderId="0" xfId="0" applyAlignment="1">
      <alignment horizontal="center" vertical="top"/>
    </xf>
    <xf numFmtId="0" fontId="0" fillId="0" borderId="0" xfId="0" applyAlignment="1">
      <alignment vertical="top" wrapText="1"/>
    </xf>
    <xf numFmtId="0" fontId="0" fillId="2" borderId="0" xfId="0" applyFill="1" applyAlignment="1">
      <alignment horizontal="center" vertical="center" wrapText="1"/>
    </xf>
    <xf numFmtId="0" fontId="2" fillId="0" borderId="0" xfId="0" applyFont="1" applyAlignment="1">
      <alignment horizontal="center" vertical="center"/>
    </xf>
    <xf numFmtId="0" fontId="4" fillId="2" borderId="0" xfId="0" applyFont="1" applyFill="1" applyAlignment="1">
      <alignment horizontal="center" vertical="center" wrapText="1"/>
    </xf>
    <xf numFmtId="43" fontId="0" fillId="0" borderId="0" xfId="1" applyFont="1" applyAlignment="1" applyProtection="1">
      <alignment horizontal="center" vertical="center" wrapText="1"/>
    </xf>
    <xf numFmtId="0" fontId="4" fillId="0" borderId="0" xfId="0" applyFont="1" applyAlignment="1">
      <alignment horizontal="left" vertical="center" wrapText="1"/>
    </xf>
    <xf numFmtId="0" fontId="0" fillId="0" borderId="0" xfId="0" applyAlignment="1">
      <alignment horizontal="center" vertical="center"/>
    </xf>
    <xf numFmtId="44" fontId="0" fillId="0" borderId="0" xfId="2" applyFont="1" applyAlignment="1" applyProtection="1">
      <alignment horizontal="center" vertical="center" wrapText="1"/>
    </xf>
    <xf numFmtId="9" fontId="0" fillId="0" borderId="0" xfId="3" applyFont="1" applyAlignment="1" applyProtection="1">
      <alignment horizontal="center" vertical="center" wrapText="1"/>
    </xf>
    <xf numFmtId="165" fontId="0" fillId="0" borderId="0" xfId="1" applyNumberFormat="1" applyFont="1" applyAlignment="1" applyProtection="1">
      <alignment horizontal="center" vertical="center" wrapText="1"/>
    </xf>
    <xf numFmtId="165" fontId="0" fillId="0" borderId="0" xfId="0" applyNumberFormat="1" applyAlignment="1">
      <alignment horizontal="center" vertical="center"/>
    </xf>
    <xf numFmtId="0" fontId="0" fillId="0" borderId="0" xfId="0" applyAlignment="1">
      <alignment horizontal="center" vertical="center" wrapText="1"/>
    </xf>
    <xf numFmtId="164" fontId="0" fillId="0" borderId="0" xfId="1" applyNumberFormat="1" applyFont="1" applyAlignment="1" applyProtection="1">
      <alignment horizontal="center" vertical="center" wrapText="1"/>
    </xf>
    <xf numFmtId="164" fontId="0" fillId="0" borderId="0" xfId="1" applyNumberFormat="1" applyFont="1" applyAlignment="1" applyProtection="1">
      <alignment horizontal="center" vertical="center"/>
    </xf>
    <xf numFmtId="44" fontId="0" fillId="0" borderId="0" xfId="2" applyFont="1" applyAlignment="1" applyProtection="1">
      <alignment horizontal="center" vertical="center"/>
    </xf>
    <xf numFmtId="44" fontId="0" fillId="0" borderId="1" xfId="2" applyFont="1" applyBorder="1" applyAlignment="1" applyProtection="1">
      <alignment horizontal="center" vertical="center" wrapText="1"/>
    </xf>
    <xf numFmtId="44" fontId="0" fillId="0" borderId="1" xfId="2" applyFont="1" applyBorder="1" applyAlignment="1" applyProtection="1">
      <alignment horizontal="center" vertical="center"/>
    </xf>
    <xf numFmtId="0" fontId="3" fillId="0" borderId="0" xfId="0" applyFont="1" applyAlignment="1">
      <alignment vertical="top" wrapText="1"/>
    </xf>
    <xf numFmtId="44" fontId="0" fillId="0" borderId="1" xfId="2" applyFont="1" applyFill="1" applyBorder="1" applyAlignment="1" applyProtection="1">
      <alignment horizontal="center" vertical="center" wrapText="1"/>
    </xf>
    <xf numFmtId="44" fontId="0" fillId="0" borderId="1" xfId="2" applyFont="1" applyFill="1" applyBorder="1" applyAlignment="1" applyProtection="1">
      <alignment horizontal="center" vertical="center"/>
    </xf>
    <xf numFmtId="44" fontId="0" fillId="0" borderId="0" xfId="2" applyFont="1" applyFill="1" applyAlignment="1" applyProtection="1">
      <alignment horizontal="center" vertical="center" wrapText="1"/>
    </xf>
    <xf numFmtId="44" fontId="0" fillId="0" borderId="0" xfId="2" applyFont="1" applyFill="1" applyAlignment="1" applyProtection="1">
      <alignment horizontal="center" vertical="center"/>
    </xf>
    <xf numFmtId="0" fontId="0" fillId="0" borderId="0" xfId="0" applyAlignment="1">
      <alignment horizontal="left" vertical="center" wrapText="1"/>
    </xf>
    <xf numFmtId="0" fontId="0" fillId="3" borderId="0" xfId="0" applyFill="1" applyAlignment="1">
      <alignment horizontal="center" wrapText="1"/>
    </xf>
    <xf numFmtId="0" fontId="0" fillId="3" borderId="0" xfId="0" applyFill="1" applyAlignment="1">
      <alignment horizontal="center" vertical="top" wrapText="1"/>
    </xf>
    <xf numFmtId="0" fontId="0" fillId="3" borderId="0" xfId="0" applyFill="1" applyAlignment="1">
      <alignment horizontal="center"/>
    </xf>
    <xf numFmtId="165" fontId="0" fillId="0" borderId="0" xfId="1" applyNumberFormat="1" applyFont="1" applyAlignment="1" applyProtection="1">
      <alignment vertical="top"/>
    </xf>
    <xf numFmtId="165" fontId="0" fillId="0" borderId="0" xfId="0" applyNumberFormat="1" applyAlignment="1">
      <alignment vertical="top"/>
    </xf>
    <xf numFmtId="0" fontId="0" fillId="0" borderId="0" xfId="0" applyAlignment="1">
      <alignment vertical="top"/>
    </xf>
    <xf numFmtId="0" fontId="0" fillId="0" borderId="0" xfId="0" applyAlignment="1">
      <alignment horizontal="center" vertical="top" wrapText="1"/>
    </xf>
    <xf numFmtId="44" fontId="0" fillId="0" borderId="0" xfId="0" applyNumberFormat="1" applyAlignment="1">
      <alignment vertical="top"/>
    </xf>
    <xf numFmtId="44" fontId="0" fillId="0" borderId="0" xfId="2" applyFont="1" applyAlignment="1" applyProtection="1">
      <alignment vertical="top"/>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E0834-3607-4A07-855E-0478FC770862}">
  <sheetPr>
    <pageSetUpPr fitToPage="1"/>
  </sheetPr>
  <dimension ref="B1:H20"/>
  <sheetViews>
    <sheetView tabSelected="1" zoomScale="120" zoomScaleNormal="120" workbookViewId="0">
      <selection activeCell="B1" sqref="B1"/>
    </sheetView>
  </sheetViews>
  <sheetFormatPr defaultColWidth="8.81640625" defaultRowHeight="14.5" x14ac:dyDescent="0.35"/>
  <cols>
    <col min="1" max="1" width="8.81640625" style="3"/>
    <col min="2" max="2" width="105" style="2" customWidth="1"/>
    <col min="3" max="16384" width="8.81640625" style="3"/>
  </cols>
  <sheetData>
    <row r="1" spans="2:8" x14ac:dyDescent="0.35">
      <c r="B1" s="12" t="s">
        <v>197</v>
      </c>
    </row>
    <row r="2" spans="2:8" x14ac:dyDescent="0.35">
      <c r="B2" s="13"/>
    </row>
    <row r="3" spans="2:8" ht="130.5" x14ac:dyDescent="0.4">
      <c r="B3" s="14" t="s">
        <v>205</v>
      </c>
      <c r="H3" s="11"/>
    </row>
    <row r="4" spans="2:8" ht="15" x14ac:dyDescent="0.4">
      <c r="B4" s="13"/>
      <c r="H4" s="11"/>
    </row>
    <row r="5" spans="2:8" ht="15" x14ac:dyDescent="0.4">
      <c r="B5" s="12" t="s">
        <v>186</v>
      </c>
      <c r="H5" s="11"/>
    </row>
    <row r="6" spans="2:8" ht="72.5" x14ac:dyDescent="0.35">
      <c r="B6" s="13" t="s">
        <v>190</v>
      </c>
    </row>
    <row r="7" spans="2:8" x14ac:dyDescent="0.35">
      <c r="B7" s="13"/>
    </row>
    <row r="8" spans="2:8" x14ac:dyDescent="0.35">
      <c r="B8" s="12" t="s">
        <v>185</v>
      </c>
    </row>
    <row r="9" spans="2:8" ht="29" x14ac:dyDescent="0.35">
      <c r="B9" s="13" t="s">
        <v>184</v>
      </c>
    </row>
    <row r="10" spans="2:8" ht="29" x14ac:dyDescent="0.35">
      <c r="B10" s="13" t="s">
        <v>202</v>
      </c>
    </row>
    <row r="11" spans="2:8" ht="29" x14ac:dyDescent="0.35">
      <c r="B11" s="13" t="s">
        <v>183</v>
      </c>
    </row>
    <row r="12" spans="2:8" x14ac:dyDescent="0.35">
      <c r="B12" s="13" t="s">
        <v>187</v>
      </c>
    </row>
    <row r="13" spans="2:8" ht="29" x14ac:dyDescent="0.35">
      <c r="B13" s="13" t="s">
        <v>182</v>
      </c>
    </row>
    <row r="14" spans="2:8" x14ac:dyDescent="0.35">
      <c r="B14" s="13"/>
    </row>
    <row r="15" spans="2:8" x14ac:dyDescent="0.35">
      <c r="B15" s="12" t="s">
        <v>188</v>
      </c>
    </row>
    <row r="16" spans="2:8" ht="29" x14ac:dyDescent="0.35">
      <c r="B16" s="13" t="s">
        <v>203</v>
      </c>
    </row>
    <row r="17" spans="2:2" ht="29" x14ac:dyDescent="0.35">
      <c r="B17" s="13" t="s">
        <v>204</v>
      </c>
    </row>
    <row r="18" spans="2:2" x14ac:dyDescent="0.35">
      <c r="B18" s="13" t="s">
        <v>189</v>
      </c>
    </row>
    <row r="19" spans="2:2" ht="43.5" x14ac:dyDescent="0.35">
      <c r="B19" s="13" t="s">
        <v>191</v>
      </c>
    </row>
    <row r="20" spans="2:2" ht="29" x14ac:dyDescent="0.35">
      <c r="B20" s="13" t="s">
        <v>181</v>
      </c>
    </row>
  </sheetData>
  <sheetProtection sheet="1" objects="1" scenarios="1"/>
  <pageMargins left="0.7" right="0.7" top="0.75" bottom="0.75" header="0.3" footer="0.3"/>
  <pageSetup scale="86" orientation="portrait" r:id="rId1"/>
  <headerFooter>
    <oddHeader>&amp;C&amp;F
&amp;A</oddHeader>
    <oddFooter>&amp;L&amp;P of &amp;N&amp;R5/30/2024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FC597-5F6F-4011-8FDA-4E06CFC164BD}">
  <sheetPr>
    <pageSetUpPr fitToPage="1"/>
  </sheetPr>
  <dimension ref="B1:G14"/>
  <sheetViews>
    <sheetView zoomScaleNormal="100" workbookViewId="0">
      <selection activeCell="B24" sqref="B24"/>
    </sheetView>
  </sheetViews>
  <sheetFormatPr defaultColWidth="8.81640625" defaultRowHeight="14.5" x14ac:dyDescent="0.35"/>
  <cols>
    <col min="1" max="1" width="8.81640625" style="3"/>
    <col min="2" max="2" width="41.90625" style="10" bestFit="1" customWidth="1"/>
    <col min="3" max="3" width="12" style="10" bestFit="1" customWidth="1"/>
    <col min="4" max="4" width="34.6328125" style="10" customWidth="1"/>
    <col min="5" max="5" width="37.453125" style="10" customWidth="1"/>
    <col min="6" max="6" width="24" style="1" customWidth="1"/>
    <col min="7" max="16384" width="8.81640625" style="3"/>
  </cols>
  <sheetData>
    <row r="1" spans="2:7" s="9" customFormat="1" ht="29" x14ac:dyDescent="0.35">
      <c r="B1" s="15" t="s">
        <v>34</v>
      </c>
      <c r="C1" s="15" t="s">
        <v>165</v>
      </c>
      <c r="D1" s="15" t="s">
        <v>33</v>
      </c>
      <c r="E1" s="15" t="s">
        <v>150</v>
      </c>
      <c r="F1" s="15" t="s">
        <v>38</v>
      </c>
      <c r="G1" s="8"/>
    </row>
    <row r="2" spans="2:7" x14ac:dyDescent="0.35">
      <c r="B2" s="16" t="s">
        <v>12</v>
      </c>
      <c r="C2" s="16" t="s">
        <v>32</v>
      </c>
      <c r="D2" s="16" t="s">
        <v>37</v>
      </c>
      <c r="E2" s="16" t="s">
        <v>156</v>
      </c>
      <c r="F2" s="17" t="s">
        <v>144</v>
      </c>
      <c r="G2" s="6"/>
    </row>
    <row r="3" spans="2:7" x14ac:dyDescent="0.35">
      <c r="B3" s="16" t="s">
        <v>11</v>
      </c>
      <c r="C3" s="16" t="s">
        <v>32</v>
      </c>
      <c r="D3" s="16" t="s">
        <v>37</v>
      </c>
      <c r="E3" s="16" t="s">
        <v>156</v>
      </c>
      <c r="F3" s="18" t="s">
        <v>140</v>
      </c>
      <c r="G3" s="6"/>
    </row>
    <row r="4" spans="2:7" x14ac:dyDescent="0.35">
      <c r="B4" s="16" t="s">
        <v>10</v>
      </c>
      <c r="C4" s="16" t="s">
        <v>25</v>
      </c>
      <c r="D4" s="16" t="s">
        <v>31</v>
      </c>
      <c r="E4" s="16" t="s">
        <v>151</v>
      </c>
      <c r="F4" s="18" t="s">
        <v>140</v>
      </c>
      <c r="G4" s="6"/>
    </row>
    <row r="5" spans="2:7" ht="43.5" x14ac:dyDescent="0.35">
      <c r="B5" s="16" t="s">
        <v>166</v>
      </c>
      <c r="C5" s="16" t="s">
        <v>26</v>
      </c>
      <c r="D5" s="16" t="s">
        <v>117</v>
      </c>
      <c r="E5" s="16" t="s">
        <v>153</v>
      </c>
      <c r="F5" s="18" t="s">
        <v>176</v>
      </c>
      <c r="G5" s="6"/>
    </row>
    <row r="6" spans="2:7" ht="43.5" x14ac:dyDescent="0.35">
      <c r="B6" s="16" t="s">
        <v>167</v>
      </c>
      <c r="C6" s="16" t="s">
        <v>26</v>
      </c>
      <c r="D6" s="16" t="s">
        <v>118</v>
      </c>
      <c r="E6" s="16" t="s">
        <v>153</v>
      </c>
      <c r="F6" s="18" t="s">
        <v>176</v>
      </c>
      <c r="G6" s="6"/>
    </row>
    <row r="7" spans="2:7" x14ac:dyDescent="0.35">
      <c r="B7" s="16" t="s">
        <v>15</v>
      </c>
      <c r="C7" s="16" t="s">
        <v>26</v>
      </c>
      <c r="D7" s="16" t="s">
        <v>30</v>
      </c>
      <c r="E7" s="16" t="s">
        <v>154</v>
      </c>
      <c r="F7" s="18" t="s">
        <v>143</v>
      </c>
      <c r="G7" s="6"/>
    </row>
    <row r="8" spans="2:7" ht="29" x14ac:dyDescent="0.35">
      <c r="B8" s="16" t="s">
        <v>29</v>
      </c>
      <c r="C8" s="16" t="s">
        <v>19</v>
      </c>
      <c r="D8" s="16" t="s">
        <v>115</v>
      </c>
      <c r="E8" s="16" t="s">
        <v>198</v>
      </c>
      <c r="F8" s="18" t="s">
        <v>142</v>
      </c>
      <c r="G8" s="6"/>
    </row>
    <row r="9" spans="2:7" ht="29" x14ac:dyDescent="0.35">
      <c r="B9" s="16" t="s">
        <v>28</v>
      </c>
      <c r="C9" s="16" t="s">
        <v>25</v>
      </c>
      <c r="D9" s="16"/>
      <c r="E9" s="16" t="s">
        <v>155</v>
      </c>
      <c r="F9" s="18" t="s">
        <v>139</v>
      </c>
      <c r="G9" s="6"/>
    </row>
    <row r="10" spans="2:7" ht="29" x14ac:dyDescent="0.35">
      <c r="B10" s="16" t="s">
        <v>195</v>
      </c>
      <c r="C10" s="16" t="s">
        <v>25</v>
      </c>
      <c r="D10" s="16" t="s">
        <v>79</v>
      </c>
      <c r="E10" s="16" t="s">
        <v>156</v>
      </c>
      <c r="F10" s="18" t="s">
        <v>141</v>
      </c>
      <c r="G10" s="6"/>
    </row>
    <row r="11" spans="2:7" x14ac:dyDescent="0.35">
      <c r="B11" s="16" t="s">
        <v>196</v>
      </c>
      <c r="C11" s="16" t="s">
        <v>25</v>
      </c>
      <c r="D11" s="16" t="s">
        <v>80</v>
      </c>
      <c r="E11" s="16" t="s">
        <v>156</v>
      </c>
      <c r="F11" s="18" t="s">
        <v>141</v>
      </c>
      <c r="G11" s="6"/>
    </row>
    <row r="12" spans="2:7" x14ac:dyDescent="0.35">
      <c r="B12" s="16" t="s">
        <v>27</v>
      </c>
      <c r="C12" s="16" t="s">
        <v>26</v>
      </c>
      <c r="D12" s="19" t="s">
        <v>81</v>
      </c>
      <c r="E12" s="19" t="s">
        <v>157</v>
      </c>
      <c r="F12" s="18" t="s">
        <v>148</v>
      </c>
      <c r="G12" s="6"/>
    </row>
    <row r="13" spans="2:7" x14ac:dyDescent="0.35">
      <c r="B13" s="16" t="s">
        <v>17</v>
      </c>
      <c r="C13" s="16" t="s">
        <v>25</v>
      </c>
      <c r="D13" s="16" t="s">
        <v>24</v>
      </c>
      <c r="E13" s="16" t="s">
        <v>152</v>
      </c>
      <c r="F13" s="18" t="s">
        <v>140</v>
      </c>
      <c r="G13" s="6"/>
    </row>
    <row r="14" spans="2:7" ht="29" x14ac:dyDescent="0.35">
      <c r="B14" s="16" t="s">
        <v>23</v>
      </c>
      <c r="C14" s="16" t="s">
        <v>19</v>
      </c>
      <c r="D14" s="16" t="s">
        <v>116</v>
      </c>
      <c r="E14" s="16" t="s">
        <v>158</v>
      </c>
      <c r="F14" s="18" t="s">
        <v>140</v>
      </c>
      <c r="G14" s="6"/>
    </row>
  </sheetData>
  <sheetProtection sheet="1" objects="1" scenarios="1"/>
  <pageMargins left="0.7" right="0.7" top="0.75" bottom="0.75" header="0.3" footer="0.3"/>
  <pageSetup scale="81" orientation="landscape" r:id="rId1"/>
  <headerFooter>
    <oddHeader>&amp;C&amp;F
&amp;A</oddHeader>
    <oddFooter>&amp;L&amp;P of &amp;N&amp;R5/30/2024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0680D-922F-45E4-8DE2-D74FF3866772}">
  <sheetPr>
    <pageSetUpPr fitToPage="1"/>
  </sheetPr>
  <dimension ref="A1:K53"/>
  <sheetViews>
    <sheetView zoomScaleNormal="100" workbookViewId="0">
      <pane xSplit="2" ySplit="1" topLeftCell="C34" activePane="bottomRight" state="frozen"/>
      <selection activeCell="B24" sqref="B24"/>
      <selection pane="topRight" activeCell="B24" sqref="B24"/>
      <selection pane="bottomLeft" activeCell="B24" sqref="B24"/>
      <selection pane="bottomRight" activeCell="C40" sqref="C40"/>
    </sheetView>
  </sheetViews>
  <sheetFormatPr defaultColWidth="8.81640625" defaultRowHeight="14.5" x14ac:dyDescent="0.35"/>
  <cols>
    <col min="1" max="1" width="29.54296875" style="1" customWidth="1"/>
    <col min="2" max="2" width="46.08984375" style="4" customWidth="1"/>
    <col min="3" max="3" width="10.6328125" style="2" bestFit="1" customWidth="1"/>
    <col min="4" max="6" width="12.90625" style="2" customWidth="1"/>
    <col min="7" max="7" width="12.453125" style="2" customWidth="1"/>
    <col min="8" max="8" width="12.453125" style="3" customWidth="1"/>
    <col min="9" max="9" width="3.36328125" style="6" customWidth="1"/>
    <col min="10" max="10" width="56.54296875" style="7" customWidth="1"/>
    <col min="11" max="11" width="25.90625" style="3" customWidth="1"/>
    <col min="12" max="12" width="22.453125" style="3" customWidth="1"/>
    <col min="13" max="16384" width="8.81640625" style="3"/>
  </cols>
  <sheetData>
    <row r="1" spans="1:11" ht="43.5" x14ac:dyDescent="0.35">
      <c r="A1" s="20"/>
      <c r="B1" s="21"/>
      <c r="C1" s="22" t="s">
        <v>22</v>
      </c>
      <c r="D1" s="22" t="s">
        <v>21</v>
      </c>
      <c r="E1" s="22" t="s">
        <v>20</v>
      </c>
      <c r="F1" s="22" t="s">
        <v>82</v>
      </c>
      <c r="G1" s="22" t="s">
        <v>129</v>
      </c>
      <c r="H1" s="22" t="s">
        <v>112</v>
      </c>
      <c r="I1" s="23"/>
      <c r="J1" s="24" t="s">
        <v>78</v>
      </c>
      <c r="K1" s="22" t="s">
        <v>38</v>
      </c>
    </row>
    <row r="2" spans="1:11" x14ac:dyDescent="0.35">
      <c r="A2" s="20" t="s">
        <v>39</v>
      </c>
      <c r="B2" s="21" t="s">
        <v>18</v>
      </c>
      <c r="C2" s="25">
        <v>1.03</v>
      </c>
      <c r="D2" s="25">
        <f>C2</f>
        <v>1.03</v>
      </c>
      <c r="E2" s="25">
        <f>D2</f>
        <v>1.03</v>
      </c>
      <c r="F2" s="25">
        <f>E2</f>
        <v>1.03</v>
      </c>
      <c r="G2" s="25">
        <f>F2</f>
        <v>1.03</v>
      </c>
      <c r="H2" s="25">
        <f>G2</f>
        <v>1.03</v>
      </c>
      <c r="I2" s="23"/>
      <c r="J2" s="26" t="s">
        <v>87</v>
      </c>
      <c r="K2" s="27" t="s">
        <v>139</v>
      </c>
    </row>
    <row r="3" spans="1:11" ht="29" x14ac:dyDescent="0.35">
      <c r="A3" s="20" t="s">
        <v>41</v>
      </c>
      <c r="B3" s="21" t="s">
        <v>17</v>
      </c>
      <c r="C3" s="28"/>
      <c r="D3" s="28"/>
      <c r="E3" s="28"/>
      <c r="F3" s="28"/>
      <c r="G3" s="28"/>
      <c r="H3" s="28">
        <f>200/12</f>
        <v>16.666666666666668</v>
      </c>
      <c r="I3" s="23"/>
      <c r="J3" s="26" t="s">
        <v>88</v>
      </c>
      <c r="K3" s="27" t="s">
        <v>140</v>
      </c>
    </row>
    <row r="4" spans="1:11" ht="29" x14ac:dyDescent="0.35">
      <c r="A4" s="20" t="s">
        <v>40</v>
      </c>
      <c r="B4" s="21" t="str">
        <f>'Exhibit 1 - PPCP Variables'!B10</f>
        <v>Add-on for Beneficiaries with FQHC Focused Care</v>
      </c>
      <c r="C4" s="28">
        <f>249/12</f>
        <v>20.75</v>
      </c>
      <c r="D4" s="28">
        <f t="shared" ref="D4:H5" si="0">C4</f>
        <v>20.75</v>
      </c>
      <c r="E4" s="28">
        <f t="shared" si="0"/>
        <v>20.75</v>
      </c>
      <c r="F4" s="28">
        <f t="shared" si="0"/>
        <v>20.75</v>
      </c>
      <c r="G4" s="28">
        <f t="shared" si="0"/>
        <v>20.75</v>
      </c>
      <c r="H4" s="28">
        <f t="shared" si="0"/>
        <v>20.75</v>
      </c>
      <c r="I4" s="23"/>
      <c r="J4" s="26" t="s">
        <v>171</v>
      </c>
      <c r="K4" s="27" t="s">
        <v>199</v>
      </c>
    </row>
    <row r="5" spans="1:11" ht="29" x14ac:dyDescent="0.35">
      <c r="A5" s="20" t="s">
        <v>42</v>
      </c>
      <c r="B5" s="21" t="str">
        <f>'Exhibit 1 - PPCP Variables'!B11</f>
        <v>Add-on for Beneficiaries with RHC Focused Care</v>
      </c>
      <c r="C5" s="28">
        <f>256/12</f>
        <v>21.333333333333332</v>
      </c>
      <c r="D5" s="28">
        <f t="shared" si="0"/>
        <v>21.333333333333332</v>
      </c>
      <c r="E5" s="28">
        <f t="shared" si="0"/>
        <v>21.333333333333332</v>
      </c>
      <c r="F5" s="28">
        <f t="shared" si="0"/>
        <v>21.333333333333332</v>
      </c>
      <c r="G5" s="28">
        <f t="shared" si="0"/>
        <v>21.333333333333332</v>
      </c>
      <c r="H5" s="28">
        <f t="shared" si="0"/>
        <v>21.333333333333332</v>
      </c>
      <c r="I5" s="23"/>
      <c r="J5" s="26" t="s">
        <v>172</v>
      </c>
      <c r="K5" s="27" t="s">
        <v>199</v>
      </c>
    </row>
    <row r="6" spans="1:11" x14ac:dyDescent="0.35">
      <c r="A6" s="20" t="s">
        <v>43</v>
      </c>
      <c r="B6" s="21" t="s">
        <v>16</v>
      </c>
      <c r="C6" s="29">
        <v>0.25</v>
      </c>
      <c r="D6" s="29">
        <v>0.25</v>
      </c>
      <c r="E6" s="29">
        <v>0.25</v>
      </c>
      <c r="F6" s="29">
        <v>0.25</v>
      </c>
      <c r="G6" s="29">
        <v>0.25</v>
      </c>
      <c r="H6" s="29">
        <v>0.25</v>
      </c>
      <c r="I6" s="23"/>
      <c r="J6" s="26" t="s">
        <v>89</v>
      </c>
      <c r="K6" s="27" t="s">
        <v>142</v>
      </c>
    </row>
    <row r="7" spans="1:11" ht="29" x14ac:dyDescent="0.35">
      <c r="A7" s="20" t="s">
        <v>44</v>
      </c>
      <c r="B7" s="21" t="s">
        <v>177</v>
      </c>
      <c r="C7" s="30">
        <v>12</v>
      </c>
      <c r="D7" s="30">
        <v>12</v>
      </c>
      <c r="E7" s="30">
        <v>12</v>
      </c>
      <c r="F7" s="30">
        <v>12</v>
      </c>
      <c r="G7" s="30">
        <f>117600-SUM(C7:F7)</f>
        <v>117552</v>
      </c>
      <c r="H7" s="31">
        <f>SUM(C7:G7)</f>
        <v>117600</v>
      </c>
      <c r="I7" s="23"/>
      <c r="J7" s="26" t="s">
        <v>180</v>
      </c>
      <c r="K7" s="32" t="s">
        <v>178</v>
      </c>
    </row>
    <row r="8" spans="1:11" x14ac:dyDescent="0.35">
      <c r="A8" s="20" t="s">
        <v>45</v>
      </c>
      <c r="B8" s="21" t="s">
        <v>15</v>
      </c>
      <c r="C8" s="33">
        <v>1.5</v>
      </c>
      <c r="D8" s="33">
        <v>1</v>
      </c>
      <c r="E8" s="33">
        <v>0.85</v>
      </c>
      <c r="F8" s="33">
        <v>1.3</v>
      </c>
      <c r="G8" s="33">
        <v>1.05</v>
      </c>
      <c r="H8" s="34">
        <f>SUMPRODUCT($C$7:$G$7,$C8:$G8)/$H$7</f>
        <v>1.050045918367347</v>
      </c>
      <c r="I8" s="23"/>
      <c r="J8" s="26" t="s">
        <v>90</v>
      </c>
      <c r="K8" s="27" t="s">
        <v>143</v>
      </c>
    </row>
    <row r="9" spans="1:11" ht="43.5" x14ac:dyDescent="0.35">
      <c r="A9" s="20" t="s">
        <v>46</v>
      </c>
      <c r="B9" s="21" t="s">
        <v>83</v>
      </c>
      <c r="C9" s="25" t="s">
        <v>84</v>
      </c>
      <c r="D9" s="25" t="s">
        <v>85</v>
      </c>
      <c r="E9" s="25" t="s">
        <v>86</v>
      </c>
      <c r="F9" s="25" t="s">
        <v>85</v>
      </c>
      <c r="G9" s="25" t="s">
        <v>85</v>
      </c>
      <c r="H9" s="27"/>
      <c r="I9" s="23"/>
      <c r="J9" s="26" t="s">
        <v>91</v>
      </c>
      <c r="K9" s="27" t="s">
        <v>144</v>
      </c>
    </row>
    <row r="10" spans="1:11" ht="29" x14ac:dyDescent="0.35">
      <c r="A10" s="20" t="s">
        <v>47</v>
      </c>
      <c r="B10" s="13" t="s">
        <v>166</v>
      </c>
      <c r="C10" s="25" t="s">
        <v>14</v>
      </c>
      <c r="D10" s="25" t="s">
        <v>13</v>
      </c>
      <c r="E10" s="25" t="s">
        <v>13</v>
      </c>
      <c r="F10" s="25" t="s">
        <v>13</v>
      </c>
      <c r="G10" s="25" t="s">
        <v>13</v>
      </c>
      <c r="H10" s="27"/>
      <c r="I10" s="23"/>
      <c r="J10" s="26" t="s">
        <v>92</v>
      </c>
      <c r="K10" s="27" t="s">
        <v>199</v>
      </c>
    </row>
    <row r="11" spans="1:11" ht="29" x14ac:dyDescent="0.35">
      <c r="A11" s="20" t="s">
        <v>48</v>
      </c>
      <c r="B11" s="13" t="s">
        <v>167</v>
      </c>
      <c r="C11" s="25" t="s">
        <v>13</v>
      </c>
      <c r="D11" s="25" t="s">
        <v>13</v>
      </c>
      <c r="E11" s="25" t="s">
        <v>13</v>
      </c>
      <c r="F11" s="25" t="s">
        <v>13</v>
      </c>
      <c r="G11" s="25" t="s">
        <v>13</v>
      </c>
      <c r="H11" s="27"/>
      <c r="I11" s="23"/>
      <c r="J11" s="26" t="s">
        <v>93</v>
      </c>
      <c r="K11" s="27" t="s">
        <v>199</v>
      </c>
    </row>
    <row r="12" spans="1:11" x14ac:dyDescent="0.35">
      <c r="A12" s="20"/>
      <c r="B12" s="21"/>
      <c r="C12" s="25"/>
      <c r="D12" s="25"/>
      <c r="E12" s="25"/>
      <c r="F12" s="25"/>
      <c r="G12" s="25"/>
      <c r="H12" s="27"/>
      <c r="I12" s="23"/>
      <c r="J12" s="26"/>
      <c r="K12" s="27"/>
    </row>
    <row r="13" spans="1:11" ht="29" x14ac:dyDescent="0.35">
      <c r="A13" s="20" t="s">
        <v>49</v>
      </c>
      <c r="B13" s="21" t="s">
        <v>12</v>
      </c>
      <c r="C13" s="28">
        <v>22</v>
      </c>
      <c r="D13" s="28">
        <v>22</v>
      </c>
      <c r="E13" s="28">
        <v>35</v>
      </c>
      <c r="F13" s="28">
        <v>37</v>
      </c>
      <c r="G13" s="28">
        <v>22</v>
      </c>
      <c r="H13" s="35">
        <f>SUMPRODUCT($C$7:$G$7,$C13:$G13)/$H$7</f>
        <v>22.002857142857142</v>
      </c>
      <c r="I13" s="23"/>
      <c r="J13" s="26" t="s">
        <v>159</v>
      </c>
      <c r="K13" s="27" t="s">
        <v>144</v>
      </c>
    </row>
    <row r="14" spans="1:11" ht="29" x14ac:dyDescent="0.35">
      <c r="A14" s="20" t="s">
        <v>50</v>
      </c>
      <c r="B14" s="21" t="s">
        <v>192</v>
      </c>
      <c r="C14" s="28">
        <f>IF(C10="Y",C4,IF(C11="Y",C5,0))</f>
        <v>20.75</v>
      </c>
      <c r="D14" s="28">
        <f>IF(D10="Y",D4,IF(D11="Y",D5,0))</f>
        <v>0</v>
      </c>
      <c r="E14" s="28">
        <v>0</v>
      </c>
      <c r="F14" s="28">
        <v>0</v>
      </c>
      <c r="G14" s="28">
        <f>IF(G10="Y",G4,IF(G11="Y",G5,0))</f>
        <v>0</v>
      </c>
      <c r="H14" s="35">
        <f>SUMPRODUCT($C$7:$G$7,$C14:$G14)/$H$7</f>
        <v>2.11734693877551E-3</v>
      </c>
      <c r="I14" s="23"/>
      <c r="J14" s="26" t="s">
        <v>170</v>
      </c>
      <c r="K14" s="27" t="s">
        <v>141</v>
      </c>
    </row>
    <row r="15" spans="1:11" ht="29" x14ac:dyDescent="0.35">
      <c r="A15" s="20" t="s">
        <v>51</v>
      </c>
      <c r="B15" s="21" t="s">
        <v>11</v>
      </c>
      <c r="C15" s="28">
        <v>12.25</v>
      </c>
      <c r="D15" s="28">
        <v>12.25</v>
      </c>
      <c r="E15" s="28">
        <v>0</v>
      </c>
      <c r="F15" s="28">
        <v>0</v>
      </c>
      <c r="G15" s="28">
        <v>12.25</v>
      </c>
      <c r="H15" s="35">
        <f>SUMPRODUCT($C$7:$G$7,$C15:$G15)/$H$7</f>
        <v>12.2475</v>
      </c>
      <c r="I15" s="23"/>
      <c r="J15" s="26" t="s">
        <v>160</v>
      </c>
      <c r="K15" s="27" t="s">
        <v>140</v>
      </c>
    </row>
    <row r="16" spans="1:11" x14ac:dyDescent="0.35">
      <c r="A16" s="20" t="s">
        <v>13</v>
      </c>
      <c r="B16" s="21" t="s">
        <v>10</v>
      </c>
      <c r="C16" s="36">
        <f>125/12</f>
        <v>10.416666666666666</v>
      </c>
      <c r="D16" s="36">
        <f>C16</f>
        <v>10.416666666666666</v>
      </c>
      <c r="E16" s="36">
        <f>D16</f>
        <v>10.416666666666666</v>
      </c>
      <c r="F16" s="36">
        <f>E16</f>
        <v>10.416666666666666</v>
      </c>
      <c r="G16" s="36">
        <f>E16</f>
        <v>10.416666666666666</v>
      </c>
      <c r="H16" s="37">
        <f>SUMPRODUCT($C$7:$G$7,$C16:$G16)/$H$7</f>
        <v>10.416666666666666</v>
      </c>
      <c r="I16" s="23"/>
      <c r="J16" s="26" t="s">
        <v>94</v>
      </c>
      <c r="K16" s="27" t="s">
        <v>140</v>
      </c>
    </row>
    <row r="17" spans="1:11" x14ac:dyDescent="0.35">
      <c r="A17" s="20" t="s">
        <v>52</v>
      </c>
      <c r="B17" s="21" t="s">
        <v>35</v>
      </c>
      <c r="C17" s="28">
        <f t="shared" ref="C17:H17" si="1">SUM(C13:C16)</f>
        <v>65.416666666666671</v>
      </c>
      <c r="D17" s="28">
        <f t="shared" si="1"/>
        <v>44.666666666666664</v>
      </c>
      <c r="E17" s="28">
        <f t="shared" si="1"/>
        <v>45.416666666666664</v>
      </c>
      <c r="F17" s="28">
        <f t="shared" si="1"/>
        <v>47.416666666666664</v>
      </c>
      <c r="G17" s="28">
        <f t="shared" si="1"/>
        <v>44.666666666666664</v>
      </c>
      <c r="H17" s="28">
        <f t="shared" si="1"/>
        <v>44.66914115646258</v>
      </c>
      <c r="I17" s="23"/>
      <c r="J17" s="26" t="s">
        <v>95</v>
      </c>
      <c r="K17" s="27"/>
    </row>
    <row r="18" spans="1:11" x14ac:dyDescent="0.35">
      <c r="A18" s="20"/>
      <c r="B18" s="21" t="s">
        <v>9</v>
      </c>
      <c r="C18" s="28"/>
      <c r="D18" s="28"/>
      <c r="E18" s="28"/>
      <c r="F18" s="28"/>
      <c r="G18" s="28"/>
      <c r="H18" s="35"/>
      <c r="I18" s="23"/>
      <c r="J18" s="26"/>
      <c r="K18" s="27"/>
    </row>
    <row r="19" spans="1:11" x14ac:dyDescent="0.35">
      <c r="A19" s="20"/>
      <c r="B19" s="38" t="s">
        <v>8</v>
      </c>
      <c r="C19" s="28"/>
      <c r="D19" s="28"/>
      <c r="E19" s="28"/>
      <c r="F19" s="28"/>
      <c r="G19" s="28"/>
      <c r="H19" s="35"/>
      <c r="I19" s="23"/>
      <c r="J19" s="26"/>
      <c r="K19" s="27" t="s">
        <v>143</v>
      </c>
    </row>
    <row r="20" spans="1:11" x14ac:dyDescent="0.35">
      <c r="A20" s="20" t="s">
        <v>53</v>
      </c>
      <c r="B20" s="21" t="s">
        <v>7</v>
      </c>
      <c r="C20" s="28">
        <f>C$8*C13</f>
        <v>33</v>
      </c>
      <c r="D20" s="28">
        <f t="shared" ref="C20:G23" si="2">D$8*D13</f>
        <v>22</v>
      </c>
      <c r="E20" s="28">
        <f t="shared" si="2"/>
        <v>29.75</v>
      </c>
      <c r="F20" s="28">
        <f t="shared" si="2"/>
        <v>48.1</v>
      </c>
      <c r="G20" s="28">
        <f t="shared" si="2"/>
        <v>23.1</v>
      </c>
      <c r="H20" s="35">
        <f>SUMPRODUCT($C$7:$G$7,$C20:$G20)/$H$7</f>
        <v>23.104127551020412</v>
      </c>
      <c r="I20" s="23"/>
      <c r="J20" s="26" t="s">
        <v>96</v>
      </c>
      <c r="K20" s="27"/>
    </row>
    <row r="21" spans="1:11" ht="29" x14ac:dyDescent="0.35">
      <c r="A21" s="20" t="s">
        <v>54</v>
      </c>
      <c r="B21" s="21" t="s">
        <v>193</v>
      </c>
      <c r="C21" s="28">
        <f t="shared" si="2"/>
        <v>31.125</v>
      </c>
      <c r="D21" s="28">
        <f t="shared" si="2"/>
        <v>0</v>
      </c>
      <c r="E21" s="28">
        <f t="shared" si="2"/>
        <v>0</v>
      </c>
      <c r="F21" s="28">
        <f t="shared" si="2"/>
        <v>0</v>
      </c>
      <c r="G21" s="28">
        <f t="shared" si="2"/>
        <v>0</v>
      </c>
      <c r="H21" s="35">
        <f>SUMPRODUCT($C$7:$G$7,$C21:$G21)/$H$7</f>
        <v>3.1760204081632652E-3</v>
      </c>
      <c r="I21" s="23"/>
      <c r="J21" s="26" t="s">
        <v>173</v>
      </c>
      <c r="K21" s="27"/>
    </row>
    <row r="22" spans="1:11" x14ac:dyDescent="0.35">
      <c r="A22" s="20" t="s">
        <v>55</v>
      </c>
      <c r="B22" s="21" t="s">
        <v>71</v>
      </c>
      <c r="C22" s="28">
        <f t="shared" si="2"/>
        <v>18.375</v>
      </c>
      <c r="D22" s="28">
        <f t="shared" si="2"/>
        <v>12.25</v>
      </c>
      <c r="E22" s="28">
        <f t="shared" si="2"/>
        <v>0</v>
      </c>
      <c r="F22" s="28">
        <f t="shared" si="2"/>
        <v>0</v>
      </c>
      <c r="G22" s="28">
        <f t="shared" si="2"/>
        <v>12.862500000000001</v>
      </c>
      <c r="H22" s="35">
        <f>SUMPRODUCT($C$7:$G$7,$C22:$G22)/$H$7</f>
        <v>12.860375000000001</v>
      </c>
      <c r="I22" s="23"/>
      <c r="J22" s="26" t="s">
        <v>97</v>
      </c>
      <c r="K22" s="27"/>
    </row>
    <row r="23" spans="1:11" x14ac:dyDescent="0.35">
      <c r="A23" s="20" t="s">
        <v>56</v>
      </c>
      <c r="B23" s="21" t="s">
        <v>6</v>
      </c>
      <c r="C23" s="36">
        <f t="shared" si="2"/>
        <v>15.625</v>
      </c>
      <c r="D23" s="36">
        <f t="shared" si="2"/>
        <v>10.416666666666666</v>
      </c>
      <c r="E23" s="36">
        <f t="shared" si="2"/>
        <v>8.8541666666666661</v>
      </c>
      <c r="F23" s="36">
        <f t="shared" si="2"/>
        <v>13.541666666666666</v>
      </c>
      <c r="G23" s="36">
        <f t="shared" si="2"/>
        <v>10.9375</v>
      </c>
      <c r="H23" s="37">
        <f>SUMPRODUCT($C$7:$G$7,$C23:$G23)/$H$7</f>
        <v>10.937978316326531</v>
      </c>
      <c r="I23" s="23"/>
      <c r="J23" s="26" t="s">
        <v>98</v>
      </c>
      <c r="K23" s="27"/>
    </row>
    <row r="24" spans="1:11" ht="29" x14ac:dyDescent="0.35">
      <c r="A24" s="20" t="s">
        <v>57</v>
      </c>
      <c r="B24" s="21" t="s">
        <v>36</v>
      </c>
      <c r="C24" s="28">
        <f>SUM(C20:C23)</f>
        <v>98.125</v>
      </c>
      <c r="D24" s="28">
        <f t="shared" ref="D24:H24" si="3">SUM(D20:D23)</f>
        <v>44.666666666666664</v>
      </c>
      <c r="E24" s="28">
        <f t="shared" si="3"/>
        <v>38.604166666666664</v>
      </c>
      <c r="F24" s="28">
        <f t="shared" si="3"/>
        <v>61.641666666666666</v>
      </c>
      <c r="G24" s="28">
        <f t="shared" si="3"/>
        <v>46.900000000000006</v>
      </c>
      <c r="H24" s="28">
        <f t="shared" si="3"/>
        <v>46.905656887755107</v>
      </c>
      <c r="I24" s="23"/>
      <c r="J24" s="26" t="s">
        <v>99</v>
      </c>
      <c r="K24" s="27"/>
    </row>
    <row r="25" spans="1:11" x14ac:dyDescent="0.35">
      <c r="A25" s="20"/>
      <c r="B25" s="21"/>
      <c r="C25" s="28"/>
      <c r="D25" s="28"/>
      <c r="E25" s="28"/>
      <c r="F25" s="28"/>
      <c r="G25" s="28"/>
      <c r="H25" s="35"/>
      <c r="I25" s="23"/>
      <c r="J25" s="26"/>
      <c r="K25" s="27" t="s">
        <v>142</v>
      </c>
    </row>
    <row r="26" spans="1:11" x14ac:dyDescent="0.35">
      <c r="A26" s="20"/>
      <c r="B26" s="38" t="s">
        <v>5</v>
      </c>
      <c r="C26" s="28"/>
      <c r="D26" s="28"/>
      <c r="E26" s="28"/>
      <c r="F26" s="28"/>
      <c r="G26" s="28"/>
      <c r="H26" s="35"/>
      <c r="I26" s="23"/>
      <c r="J26" s="26" t="s">
        <v>101</v>
      </c>
      <c r="K26" s="27"/>
    </row>
    <row r="27" spans="1:11" ht="29" x14ac:dyDescent="0.35">
      <c r="A27" s="20" t="s">
        <v>58</v>
      </c>
      <c r="B27" s="21" t="str">
        <f>B20</f>
        <v xml:space="preserve">  County Base Rate</v>
      </c>
      <c r="C27" s="28">
        <f t="shared" ref="C27:G28" si="4">C20*(1-C$6)</f>
        <v>24.75</v>
      </c>
      <c r="D27" s="28">
        <f t="shared" si="4"/>
        <v>16.5</v>
      </c>
      <c r="E27" s="28">
        <f t="shared" si="4"/>
        <v>22.3125</v>
      </c>
      <c r="F27" s="28">
        <f t="shared" si="4"/>
        <v>36.075000000000003</v>
      </c>
      <c r="G27" s="28">
        <f t="shared" si="4"/>
        <v>17.325000000000003</v>
      </c>
      <c r="H27" s="35">
        <f>SUMPRODUCT($C$7:$G$7,$C27:$G27)/$H$7</f>
        <v>17.328095663265309</v>
      </c>
      <c r="I27" s="23"/>
      <c r="J27" s="26" t="s">
        <v>100</v>
      </c>
      <c r="K27" s="27"/>
    </row>
    <row r="28" spans="1:11" ht="29" x14ac:dyDescent="0.35">
      <c r="A28" s="20" t="s">
        <v>59</v>
      </c>
      <c r="B28" s="21" t="str">
        <f>B21</f>
        <v xml:space="preserve">  Add-on for Beneficiaries with FQHC/RHC Focused Care</v>
      </c>
      <c r="C28" s="28">
        <f t="shared" si="4"/>
        <v>23.34375</v>
      </c>
      <c r="D28" s="28">
        <f t="shared" si="4"/>
        <v>0</v>
      </c>
      <c r="E28" s="28">
        <f t="shared" si="4"/>
        <v>0</v>
      </c>
      <c r="F28" s="28">
        <f t="shared" si="4"/>
        <v>0</v>
      </c>
      <c r="G28" s="28">
        <f t="shared" si="4"/>
        <v>0</v>
      </c>
      <c r="H28" s="35">
        <f>SUMPRODUCT($C$7:$G$7,$C28:$G28)/$H$7</f>
        <v>2.3820153061224489E-3</v>
      </c>
      <c r="I28" s="23"/>
      <c r="J28" s="26" t="s">
        <v>174</v>
      </c>
      <c r="K28" s="27"/>
    </row>
    <row r="29" spans="1:11" ht="29" x14ac:dyDescent="0.35">
      <c r="A29" s="20" t="s">
        <v>60</v>
      </c>
      <c r="B29" s="21" t="str">
        <f>B22</f>
        <v xml:space="preserve">  County Enhancement</v>
      </c>
      <c r="C29" s="28">
        <f t="shared" ref="C29:G29" si="5">C22*(1-C$6)</f>
        <v>13.78125</v>
      </c>
      <c r="D29" s="28">
        <f t="shared" si="5"/>
        <v>9.1875</v>
      </c>
      <c r="E29" s="28">
        <f t="shared" ref="E29:F29" si="6">E22*(1-E$6)</f>
        <v>0</v>
      </c>
      <c r="F29" s="28">
        <f t="shared" si="6"/>
        <v>0</v>
      </c>
      <c r="G29" s="28">
        <f t="shared" si="5"/>
        <v>9.6468750000000014</v>
      </c>
      <c r="H29" s="35">
        <f>SUMPRODUCT($C$7:$G$7,$C29:$G29)/$H$7</f>
        <v>9.6452812500000018</v>
      </c>
      <c r="I29" s="23"/>
      <c r="J29" s="26" t="s">
        <v>102</v>
      </c>
      <c r="K29" s="27"/>
    </row>
    <row r="30" spans="1:11" x14ac:dyDescent="0.35">
      <c r="A30" s="20" t="s">
        <v>113</v>
      </c>
      <c r="B30" s="21" t="str">
        <f>B23</f>
        <v xml:space="preserve">  Flex Enhancement</v>
      </c>
      <c r="C30" s="36">
        <f>C23</f>
        <v>15.625</v>
      </c>
      <c r="D30" s="36">
        <f>D23</f>
        <v>10.416666666666666</v>
      </c>
      <c r="E30" s="36">
        <f>E23</f>
        <v>8.8541666666666661</v>
      </c>
      <c r="F30" s="36">
        <f>F23</f>
        <v>13.541666666666666</v>
      </c>
      <c r="G30" s="36">
        <f>G23</f>
        <v>10.9375</v>
      </c>
      <c r="H30" s="37">
        <f>SUMPRODUCT($C$7:$G$7,$C30:$G30)/$H$7</f>
        <v>10.937978316326531</v>
      </c>
      <c r="I30" s="23"/>
      <c r="J30" s="26" t="s">
        <v>114</v>
      </c>
      <c r="K30" s="27"/>
    </row>
    <row r="31" spans="1:11" ht="29" x14ac:dyDescent="0.35">
      <c r="A31" s="20" t="s">
        <v>61</v>
      </c>
      <c r="B31" s="21" t="str">
        <f>B24</f>
        <v xml:space="preserve">    Total</v>
      </c>
      <c r="C31" s="28">
        <f t="shared" ref="C31:H31" si="7">SUM(C27:C30)</f>
        <v>77.5</v>
      </c>
      <c r="D31" s="28">
        <f t="shared" si="7"/>
        <v>36.104166666666664</v>
      </c>
      <c r="E31" s="28">
        <f t="shared" si="7"/>
        <v>31.166666666666664</v>
      </c>
      <c r="F31" s="28">
        <f t="shared" si="7"/>
        <v>49.616666666666667</v>
      </c>
      <c r="G31" s="28">
        <f t="shared" si="7"/>
        <v>37.909375000000004</v>
      </c>
      <c r="H31" s="28">
        <f t="shared" si="7"/>
        <v>37.913737244897959</v>
      </c>
      <c r="I31" s="23"/>
      <c r="J31" s="26" t="s">
        <v>161</v>
      </c>
      <c r="K31" s="27"/>
    </row>
    <row r="32" spans="1:11" x14ac:dyDescent="0.35">
      <c r="A32" s="20"/>
      <c r="B32" s="21"/>
      <c r="C32" s="28"/>
      <c r="D32" s="28"/>
      <c r="E32" s="28"/>
      <c r="F32" s="28"/>
      <c r="G32" s="28"/>
      <c r="H32" s="35"/>
      <c r="I32" s="23"/>
      <c r="J32" s="26"/>
      <c r="K32" s="27"/>
    </row>
    <row r="33" spans="1:11" x14ac:dyDescent="0.35">
      <c r="A33" s="20"/>
      <c r="B33" s="38" t="s">
        <v>4</v>
      </c>
      <c r="C33" s="28"/>
      <c r="D33" s="28"/>
      <c r="E33" s="28"/>
      <c r="F33" s="28"/>
      <c r="G33" s="28"/>
      <c r="H33" s="35"/>
      <c r="I33" s="23"/>
      <c r="J33" s="26" t="s">
        <v>103</v>
      </c>
      <c r="K33" s="27" t="s">
        <v>139</v>
      </c>
    </row>
    <row r="34" spans="1:11" ht="29" x14ac:dyDescent="0.35">
      <c r="A34" s="20" t="s">
        <v>62</v>
      </c>
      <c r="B34" s="21" t="str">
        <f>B27</f>
        <v xml:space="preserve">  County Base Rate</v>
      </c>
      <c r="C34" s="28">
        <f>C27*C$2</f>
        <v>25.4925</v>
      </c>
      <c r="D34" s="28">
        <f t="shared" ref="C34:G37" si="8">D27*D$2</f>
        <v>16.995000000000001</v>
      </c>
      <c r="E34" s="28">
        <f t="shared" si="8"/>
        <v>22.981875000000002</v>
      </c>
      <c r="F34" s="28">
        <f t="shared" si="8"/>
        <v>37.157250000000005</v>
      </c>
      <c r="G34" s="28">
        <f t="shared" si="8"/>
        <v>17.844750000000005</v>
      </c>
      <c r="H34" s="35">
        <f>SUMPRODUCT($C$7:$G$7,$C34:$G34)/$H$7</f>
        <v>17.847938533163269</v>
      </c>
      <c r="I34" s="23"/>
      <c r="J34" s="26" t="s">
        <v>104</v>
      </c>
      <c r="K34" s="27"/>
    </row>
    <row r="35" spans="1:11" ht="43.5" x14ac:dyDescent="0.35">
      <c r="A35" s="20" t="s">
        <v>63</v>
      </c>
      <c r="B35" s="21" t="str">
        <f>B28</f>
        <v xml:space="preserve">  Add-on for Beneficiaries with FQHC/RHC Focused Care</v>
      </c>
      <c r="C35" s="28">
        <f t="shared" si="8"/>
        <v>24.044062499999999</v>
      </c>
      <c r="D35" s="28">
        <f t="shared" si="8"/>
        <v>0</v>
      </c>
      <c r="E35" s="28">
        <f t="shared" si="8"/>
        <v>0</v>
      </c>
      <c r="F35" s="28">
        <f t="shared" si="8"/>
        <v>0</v>
      </c>
      <c r="G35" s="28">
        <f t="shared" si="8"/>
        <v>0</v>
      </c>
      <c r="H35" s="35">
        <f>SUMPRODUCT($C$7:$G$7,$C35:$G35)/$H$7</f>
        <v>2.4534757653061224E-3</v>
      </c>
      <c r="I35" s="23"/>
      <c r="J35" s="26" t="s">
        <v>175</v>
      </c>
      <c r="K35" s="27"/>
    </row>
    <row r="36" spans="1:11" ht="29" x14ac:dyDescent="0.35">
      <c r="A36" s="20" t="s">
        <v>64</v>
      </c>
      <c r="B36" s="21" t="str">
        <f t="shared" ref="B36:B38" si="9">B29</f>
        <v xml:space="preserve">  County Enhancement</v>
      </c>
      <c r="C36" s="28">
        <f t="shared" si="8"/>
        <v>14.194687500000001</v>
      </c>
      <c r="D36" s="28">
        <f t="shared" si="8"/>
        <v>9.4631249999999998</v>
      </c>
      <c r="E36" s="28">
        <f t="shared" si="8"/>
        <v>0</v>
      </c>
      <c r="F36" s="28">
        <f t="shared" si="8"/>
        <v>0</v>
      </c>
      <c r="G36" s="28">
        <f t="shared" si="8"/>
        <v>9.9362812500000022</v>
      </c>
      <c r="H36" s="35">
        <f>SUMPRODUCT($C$7:$G$7,$C36:$G36)/$H$7</f>
        <v>9.9346396875000025</v>
      </c>
      <c r="I36" s="23"/>
      <c r="J36" s="26" t="s">
        <v>105</v>
      </c>
      <c r="K36" s="27"/>
    </row>
    <row r="37" spans="1:11" ht="29" x14ac:dyDescent="0.35">
      <c r="A37" s="20" t="s">
        <v>65</v>
      </c>
      <c r="B37" s="21" t="str">
        <f t="shared" si="9"/>
        <v xml:space="preserve">  Flex Enhancement</v>
      </c>
      <c r="C37" s="39">
        <f t="shared" si="8"/>
        <v>16.09375</v>
      </c>
      <c r="D37" s="39">
        <f t="shared" si="8"/>
        <v>10.729166666666666</v>
      </c>
      <c r="E37" s="39">
        <f t="shared" si="8"/>
        <v>9.1197916666666661</v>
      </c>
      <c r="F37" s="39">
        <f t="shared" si="8"/>
        <v>13.947916666666666</v>
      </c>
      <c r="G37" s="39">
        <f t="shared" si="8"/>
        <v>11.265625</v>
      </c>
      <c r="H37" s="40">
        <f>SUMPRODUCT($C$7:$G$7,$C37:$G37)/$H$7</f>
        <v>11.266117665816326</v>
      </c>
      <c r="I37" s="23"/>
      <c r="J37" s="26" t="s">
        <v>168</v>
      </c>
      <c r="K37" s="27"/>
    </row>
    <row r="38" spans="1:11" ht="29" x14ac:dyDescent="0.35">
      <c r="A38" s="20" t="s">
        <v>66</v>
      </c>
      <c r="B38" s="21" t="str">
        <f t="shared" si="9"/>
        <v xml:space="preserve">    Total</v>
      </c>
      <c r="C38" s="28">
        <f>SUM(C34:C37)</f>
        <v>79.825000000000003</v>
      </c>
      <c r="D38" s="28">
        <f t="shared" ref="D38:H38" si="10">SUM(D34:D37)</f>
        <v>37.187291666666667</v>
      </c>
      <c r="E38" s="28">
        <f t="shared" si="10"/>
        <v>32.101666666666667</v>
      </c>
      <c r="F38" s="28">
        <f t="shared" si="10"/>
        <v>51.105166666666669</v>
      </c>
      <c r="G38" s="28">
        <f t="shared" si="10"/>
        <v>39.046656250000005</v>
      </c>
      <c r="H38" s="28">
        <f t="shared" si="10"/>
        <v>39.051149362244907</v>
      </c>
      <c r="I38" s="23"/>
      <c r="J38" s="26" t="s">
        <v>162</v>
      </c>
      <c r="K38" s="27"/>
    </row>
    <row r="39" spans="1:11" x14ac:dyDescent="0.35">
      <c r="A39" s="20"/>
      <c r="B39" s="21"/>
      <c r="C39" s="28"/>
      <c r="D39" s="28"/>
      <c r="E39" s="28"/>
      <c r="F39" s="28"/>
      <c r="G39" s="28"/>
      <c r="H39" s="35"/>
      <c r="I39" s="23"/>
      <c r="J39" s="26"/>
      <c r="K39" s="27"/>
    </row>
    <row r="40" spans="1:11" ht="29" x14ac:dyDescent="0.35">
      <c r="A40" s="20" t="s">
        <v>67</v>
      </c>
      <c r="B40" s="21" t="s">
        <v>3</v>
      </c>
      <c r="C40" s="28">
        <f>SUM(C36:C37)</f>
        <v>30.288437500000001</v>
      </c>
      <c r="D40" s="28">
        <f>SUM(D36:D37)</f>
        <v>20.192291666666666</v>
      </c>
      <c r="E40" s="28">
        <f>SUM(E36:E37)</f>
        <v>9.1197916666666661</v>
      </c>
      <c r="F40" s="28">
        <f>SUM(F36:F37)</f>
        <v>13.947916666666666</v>
      </c>
      <c r="G40" s="28">
        <f>SUM(G36:G37)</f>
        <v>21.20190625</v>
      </c>
      <c r="H40" s="35">
        <f>SUMPRODUCT($C$7:$G$7,$C40:$G40)/$H$7</f>
        <v>21.200757353316327</v>
      </c>
      <c r="I40" s="23"/>
      <c r="J40" s="26" t="s">
        <v>106</v>
      </c>
      <c r="K40" s="27"/>
    </row>
    <row r="41" spans="1:11" ht="29" x14ac:dyDescent="0.35">
      <c r="A41" s="20" t="s">
        <v>74</v>
      </c>
      <c r="B41" s="21" t="s">
        <v>2</v>
      </c>
      <c r="C41" s="28"/>
      <c r="D41" s="28"/>
      <c r="E41" s="28"/>
      <c r="F41" s="28"/>
      <c r="G41" s="28"/>
      <c r="H41" s="35">
        <f>MAX(H40-H3,0)</f>
        <v>4.5340906866496589</v>
      </c>
      <c r="I41" s="23"/>
      <c r="J41" s="26" t="s">
        <v>107</v>
      </c>
      <c r="K41" s="27" t="s">
        <v>140</v>
      </c>
    </row>
    <row r="42" spans="1:11" x14ac:dyDescent="0.35">
      <c r="A42" s="20"/>
      <c r="B42" s="21"/>
      <c r="C42" s="28"/>
      <c r="D42" s="28"/>
      <c r="E42" s="28"/>
      <c r="F42" s="28"/>
      <c r="G42" s="28"/>
      <c r="H42" s="35"/>
      <c r="I42" s="23"/>
      <c r="J42" s="26"/>
      <c r="K42" s="27"/>
    </row>
    <row r="43" spans="1:11" x14ac:dyDescent="0.35">
      <c r="A43" s="20"/>
      <c r="B43" s="21" t="s">
        <v>1</v>
      </c>
      <c r="C43" s="28"/>
      <c r="D43" s="28"/>
      <c r="E43" s="28"/>
      <c r="F43" s="28"/>
      <c r="G43" s="28"/>
      <c r="H43" s="35"/>
      <c r="I43" s="23"/>
      <c r="J43" s="26"/>
      <c r="K43" s="27" t="s">
        <v>140</v>
      </c>
    </row>
    <row r="44" spans="1:11" ht="29" x14ac:dyDescent="0.35">
      <c r="A44" s="20" t="s">
        <v>68</v>
      </c>
      <c r="B44" s="21" t="str">
        <f t="shared" ref="B44:G45" si="11">B34</f>
        <v xml:space="preserve">  County Base Rate</v>
      </c>
      <c r="C44" s="28">
        <f t="shared" si="11"/>
        <v>25.4925</v>
      </c>
      <c r="D44" s="28">
        <f t="shared" si="11"/>
        <v>16.995000000000001</v>
      </c>
      <c r="E44" s="28">
        <f t="shared" si="11"/>
        <v>22.981875000000002</v>
      </c>
      <c r="F44" s="28">
        <f t="shared" si="11"/>
        <v>37.157250000000005</v>
      </c>
      <c r="G44" s="28">
        <f t="shared" si="11"/>
        <v>17.844750000000005</v>
      </c>
      <c r="H44" s="35">
        <f t="shared" ref="H44:H50" si="12">SUMPRODUCT($C$7:$G$7,$C44:$G44)/$H$7</f>
        <v>17.847938533163269</v>
      </c>
      <c r="I44" s="23"/>
      <c r="J44" s="26" t="s">
        <v>104</v>
      </c>
      <c r="K44" s="27"/>
    </row>
    <row r="45" spans="1:11" ht="43.5" x14ac:dyDescent="0.35">
      <c r="A45" s="20" t="s">
        <v>69</v>
      </c>
      <c r="B45" s="21" t="str">
        <f t="shared" si="11"/>
        <v xml:space="preserve">  Add-on for Beneficiaries with FQHC/RHC Focused Care</v>
      </c>
      <c r="C45" s="28">
        <f t="shared" si="11"/>
        <v>24.044062499999999</v>
      </c>
      <c r="D45" s="28">
        <f t="shared" si="11"/>
        <v>0</v>
      </c>
      <c r="E45" s="28">
        <f t="shared" si="11"/>
        <v>0</v>
      </c>
      <c r="F45" s="28">
        <f t="shared" si="11"/>
        <v>0</v>
      </c>
      <c r="G45" s="28">
        <f t="shared" si="11"/>
        <v>0</v>
      </c>
      <c r="H45" s="35">
        <f t="shared" si="12"/>
        <v>2.4534757653061224E-3</v>
      </c>
      <c r="I45" s="23"/>
      <c r="J45" s="26" t="s">
        <v>175</v>
      </c>
      <c r="K45" s="27"/>
    </row>
    <row r="46" spans="1:11" ht="43.5" x14ac:dyDescent="0.35">
      <c r="A46" s="20" t="s">
        <v>70</v>
      </c>
      <c r="B46" s="21" t="s">
        <v>194</v>
      </c>
      <c r="C46" s="28">
        <v>0</v>
      </c>
      <c r="D46" s="28">
        <v>0</v>
      </c>
      <c r="E46" s="28">
        <v>0</v>
      </c>
      <c r="F46" s="28">
        <v>0</v>
      </c>
      <c r="G46" s="28">
        <v>0</v>
      </c>
      <c r="H46" s="35">
        <f t="shared" si="12"/>
        <v>0</v>
      </c>
      <c r="I46" s="23"/>
      <c r="J46" s="26" t="s">
        <v>108</v>
      </c>
      <c r="K46" s="27"/>
    </row>
    <row r="47" spans="1:11" ht="29" x14ac:dyDescent="0.35">
      <c r="A47" s="20" t="s">
        <v>72</v>
      </c>
      <c r="B47" s="21" t="str">
        <f t="shared" ref="B47:G47" si="13">B36</f>
        <v xml:space="preserve">  County Enhancement</v>
      </c>
      <c r="C47" s="28">
        <f t="shared" si="13"/>
        <v>14.194687500000001</v>
      </c>
      <c r="D47" s="28">
        <f t="shared" si="13"/>
        <v>9.4631249999999998</v>
      </c>
      <c r="E47" s="28">
        <f t="shared" ref="E47:F47" si="14">E36</f>
        <v>0</v>
      </c>
      <c r="F47" s="28">
        <f t="shared" si="14"/>
        <v>0</v>
      </c>
      <c r="G47" s="28">
        <f t="shared" si="13"/>
        <v>9.9362812500000022</v>
      </c>
      <c r="H47" s="35">
        <f t="shared" si="12"/>
        <v>9.9346396875000025</v>
      </c>
      <c r="I47" s="23"/>
      <c r="J47" s="26" t="s">
        <v>105</v>
      </c>
      <c r="K47" s="27"/>
    </row>
    <row r="48" spans="1:11" ht="43.5" x14ac:dyDescent="0.35">
      <c r="A48" s="20" t="s">
        <v>73</v>
      </c>
      <c r="B48" s="21" t="str">
        <f>B37</f>
        <v xml:space="preserve">  Flex Enhancement</v>
      </c>
      <c r="C48" s="41">
        <f>C37-$H$41</f>
        <v>11.559659313350341</v>
      </c>
      <c r="D48" s="41">
        <f>D37-$H$41</f>
        <v>6.1950759800170072</v>
      </c>
      <c r="E48" s="41">
        <f>E37-$H$41</f>
        <v>4.5857009800170072</v>
      </c>
      <c r="F48" s="41">
        <f>F37-$H$41</f>
        <v>9.4138259800170072</v>
      </c>
      <c r="G48" s="41">
        <f>G37-$H$41</f>
        <v>6.7315343133503411</v>
      </c>
      <c r="H48" s="42">
        <f t="shared" si="12"/>
        <v>6.7320269791666671</v>
      </c>
      <c r="I48" s="23"/>
      <c r="J48" s="26" t="s">
        <v>169</v>
      </c>
      <c r="K48" s="27"/>
    </row>
    <row r="49" spans="1:11" x14ac:dyDescent="0.35">
      <c r="A49" s="20" t="s">
        <v>75</v>
      </c>
      <c r="B49" s="21" t="s">
        <v>0</v>
      </c>
      <c r="C49" s="36">
        <v>3</v>
      </c>
      <c r="D49" s="36">
        <v>0.5</v>
      </c>
      <c r="E49" s="36">
        <v>0.75</v>
      </c>
      <c r="F49" s="36">
        <v>0.75</v>
      </c>
      <c r="G49" s="36">
        <v>0.05</v>
      </c>
      <c r="H49" s="37">
        <f t="shared" si="12"/>
        <v>5.0489795918367351E-2</v>
      </c>
      <c r="I49" s="23"/>
      <c r="J49" s="26" t="s">
        <v>109</v>
      </c>
      <c r="K49" s="27" t="s">
        <v>145</v>
      </c>
    </row>
    <row r="50" spans="1:11" ht="29" x14ac:dyDescent="0.35">
      <c r="A50" s="20" t="s">
        <v>76</v>
      </c>
      <c r="B50" s="21" t="s">
        <v>110</v>
      </c>
      <c r="C50" s="28">
        <f>SUM(C44:C49)</f>
        <v>78.29090931335034</v>
      </c>
      <c r="D50" s="28">
        <f>SUM(D44:D49)</f>
        <v>33.153200980017012</v>
      </c>
      <c r="E50" s="28">
        <f>SUM(E44:E49)</f>
        <v>28.317575980017011</v>
      </c>
      <c r="F50" s="28">
        <f>SUM(F44:F49)</f>
        <v>47.321075980017014</v>
      </c>
      <c r="G50" s="28">
        <f>SUM(G44:G49)</f>
        <v>34.562565563350347</v>
      </c>
      <c r="H50" s="35">
        <f t="shared" si="12"/>
        <v>34.567548471513611</v>
      </c>
      <c r="I50" s="23"/>
      <c r="J50" s="26" t="s">
        <v>111</v>
      </c>
      <c r="K50" s="27" t="s">
        <v>146</v>
      </c>
    </row>
    <row r="51" spans="1:11" x14ac:dyDescent="0.35">
      <c r="A51" s="20"/>
      <c r="B51" s="21"/>
      <c r="C51" s="28"/>
      <c r="D51" s="28"/>
      <c r="E51" s="28"/>
      <c r="F51" s="28"/>
      <c r="G51" s="28"/>
      <c r="H51" s="35"/>
      <c r="I51" s="23"/>
      <c r="J51" s="26"/>
      <c r="K51" s="27"/>
    </row>
    <row r="52" spans="1:11" x14ac:dyDescent="0.35">
      <c r="A52" s="20"/>
      <c r="B52" s="21"/>
      <c r="C52" s="28"/>
      <c r="D52" s="28"/>
      <c r="E52" s="28"/>
      <c r="F52" s="28"/>
      <c r="G52" s="28"/>
      <c r="H52" s="35"/>
      <c r="I52" s="23"/>
      <c r="J52" s="26"/>
      <c r="K52" s="27"/>
    </row>
    <row r="53" spans="1:11" ht="58" x14ac:dyDescent="0.35">
      <c r="A53" s="20" t="s">
        <v>77</v>
      </c>
      <c r="B53" s="21" t="s">
        <v>149</v>
      </c>
      <c r="C53" s="28">
        <f t="shared" ref="C53:H53" si="15">C47+C48</f>
        <v>25.754346813350342</v>
      </c>
      <c r="D53" s="28">
        <f t="shared" si="15"/>
        <v>15.658200980017007</v>
      </c>
      <c r="E53" s="28">
        <f t="shared" si="15"/>
        <v>4.5857009800170072</v>
      </c>
      <c r="F53" s="28">
        <f t="shared" si="15"/>
        <v>9.4138259800170072</v>
      </c>
      <c r="G53" s="28">
        <f t="shared" si="15"/>
        <v>16.667815563350345</v>
      </c>
      <c r="H53" s="28">
        <f t="shared" si="15"/>
        <v>16.666666666666671</v>
      </c>
      <c r="I53" s="23"/>
      <c r="J53" s="43" t="s">
        <v>163</v>
      </c>
      <c r="K53" s="27" t="s">
        <v>200</v>
      </c>
    </row>
  </sheetData>
  <sheetProtection sheet="1" objects="1" scenarios="1"/>
  <pageMargins left="0.25" right="0.25" top="0.75" bottom="0.75" header="0.3" footer="0.3"/>
  <pageSetup scale="56" fitToHeight="0" orientation="landscape" r:id="rId1"/>
  <headerFooter>
    <oddHeader>&amp;C&amp;F
&amp;A</oddHeader>
    <oddFooter>&amp;L&amp;P of &amp;N&amp;R5/30/2024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C6F6E-D9FE-451C-88AF-1B3AB275FC74}">
  <sheetPr>
    <pageSetUpPr fitToPage="1"/>
  </sheetPr>
  <dimension ref="B1:F15"/>
  <sheetViews>
    <sheetView topLeftCell="B1" zoomScaleNormal="100" workbookViewId="0">
      <selection activeCell="C7" sqref="C7"/>
    </sheetView>
  </sheetViews>
  <sheetFormatPr defaultColWidth="8.81640625" defaultRowHeight="14.5" x14ac:dyDescent="0.35"/>
  <cols>
    <col min="1" max="1" width="2.453125" style="3" customWidth="1"/>
    <col min="2" max="2" width="15.08984375" style="1" customWidth="1"/>
    <col min="3" max="3" width="47.453125" style="2" customWidth="1"/>
    <col min="4" max="4" width="18" style="5" customWidth="1"/>
    <col min="5" max="5" width="48.08984375" style="4" customWidth="1"/>
    <col min="6" max="6" width="24.6328125" style="3" customWidth="1"/>
    <col min="7" max="16384" width="8.81640625" style="3"/>
  </cols>
  <sheetData>
    <row r="1" spans="2:6" x14ac:dyDescent="0.35">
      <c r="B1" s="20"/>
      <c r="C1" s="13"/>
      <c r="D1" s="44" t="s">
        <v>138</v>
      </c>
      <c r="E1" s="45" t="s">
        <v>78</v>
      </c>
      <c r="F1" s="46" t="s">
        <v>38</v>
      </c>
    </row>
    <row r="2" spans="2:6" ht="29" x14ac:dyDescent="0.35">
      <c r="B2" s="20" t="s">
        <v>39</v>
      </c>
      <c r="C2" s="13" t="s">
        <v>119</v>
      </c>
      <c r="D2" s="47">
        <v>120000</v>
      </c>
      <c r="E2" s="21" t="s">
        <v>134</v>
      </c>
      <c r="F2" s="27" t="s">
        <v>147</v>
      </c>
    </row>
    <row r="3" spans="2:6" ht="43.5" x14ac:dyDescent="0.35">
      <c r="B3" s="20" t="s">
        <v>41</v>
      </c>
      <c r="C3" s="13" t="s">
        <v>120</v>
      </c>
      <c r="D3" s="48">
        <v>117600</v>
      </c>
      <c r="E3" s="21" t="s">
        <v>164</v>
      </c>
      <c r="F3" s="32" t="s">
        <v>178</v>
      </c>
    </row>
    <row r="4" spans="2:6" x14ac:dyDescent="0.35">
      <c r="B4" s="20"/>
      <c r="C4" s="13"/>
      <c r="D4" s="49"/>
      <c r="E4" s="21"/>
      <c r="F4" s="27"/>
    </row>
    <row r="5" spans="2:6" x14ac:dyDescent="0.35">
      <c r="B5" s="20"/>
      <c r="C5" s="13"/>
      <c r="D5" s="20"/>
      <c r="E5" s="50"/>
      <c r="F5" s="27"/>
    </row>
    <row r="6" spans="2:6" ht="43.5" x14ac:dyDescent="0.35">
      <c r="B6" s="20" t="s">
        <v>40</v>
      </c>
      <c r="C6" s="13" t="s">
        <v>124</v>
      </c>
      <c r="D6" s="51">
        <f>'Exhibit 2 - PPCP Build'!H53</f>
        <v>16.666666666666671</v>
      </c>
      <c r="E6" s="21" t="s">
        <v>133</v>
      </c>
      <c r="F6" s="27" t="s">
        <v>179</v>
      </c>
    </row>
    <row r="7" spans="2:6" x14ac:dyDescent="0.35">
      <c r="B7" s="20"/>
      <c r="C7" s="13"/>
      <c r="D7" s="49"/>
      <c r="E7" s="21"/>
      <c r="F7" s="27"/>
    </row>
    <row r="8" spans="2:6" ht="43.5" x14ac:dyDescent="0.35">
      <c r="B8" s="20" t="s">
        <v>42</v>
      </c>
      <c r="C8" s="13" t="s">
        <v>125</v>
      </c>
      <c r="D8" s="52">
        <v>10</v>
      </c>
      <c r="E8" s="21" t="s">
        <v>131</v>
      </c>
      <c r="F8" s="27" t="s">
        <v>179</v>
      </c>
    </row>
    <row r="9" spans="2:6" ht="43.5" x14ac:dyDescent="0.35">
      <c r="B9" s="20" t="s">
        <v>43</v>
      </c>
      <c r="C9" s="13" t="s">
        <v>126</v>
      </c>
      <c r="D9" s="52">
        <v>5</v>
      </c>
      <c r="E9" s="21" t="s">
        <v>132</v>
      </c>
      <c r="F9" s="27" t="s">
        <v>179</v>
      </c>
    </row>
    <row r="10" spans="2:6" x14ac:dyDescent="0.35">
      <c r="B10" s="20"/>
      <c r="C10" s="13"/>
      <c r="D10" s="49"/>
      <c r="E10" s="21"/>
      <c r="F10" s="27"/>
    </row>
    <row r="11" spans="2:6" ht="29" x14ac:dyDescent="0.35">
      <c r="B11" s="20" t="s">
        <v>121</v>
      </c>
      <c r="C11" s="13" t="s">
        <v>127</v>
      </c>
      <c r="D11" s="51">
        <f>MAX(D8:D9)</f>
        <v>10</v>
      </c>
      <c r="E11" s="21" t="s">
        <v>135</v>
      </c>
      <c r="F11" s="27" t="s">
        <v>179</v>
      </c>
    </row>
    <row r="12" spans="2:6" x14ac:dyDescent="0.35">
      <c r="B12" s="20"/>
      <c r="C12" s="13"/>
      <c r="D12" s="49"/>
      <c r="E12" s="21"/>
      <c r="F12" s="27"/>
    </row>
    <row r="13" spans="2:6" ht="43.5" x14ac:dyDescent="0.35">
      <c r="B13" s="20" t="s">
        <v>122</v>
      </c>
      <c r="C13" s="13" t="s">
        <v>123</v>
      </c>
      <c r="D13" s="51">
        <f>D6-D11</f>
        <v>6.6666666666666714</v>
      </c>
      <c r="E13" s="21" t="s">
        <v>136</v>
      </c>
      <c r="F13" s="27" t="s">
        <v>179</v>
      </c>
    </row>
    <row r="14" spans="2:6" x14ac:dyDescent="0.35">
      <c r="B14" s="20"/>
      <c r="C14" s="13"/>
      <c r="D14" s="49"/>
      <c r="E14" s="21"/>
      <c r="F14" s="27"/>
    </row>
    <row r="15" spans="2:6" ht="58" x14ac:dyDescent="0.35">
      <c r="B15" s="20" t="s">
        <v>128</v>
      </c>
      <c r="C15" s="13" t="s">
        <v>130</v>
      </c>
      <c r="D15" s="52">
        <f>D13*D3</f>
        <v>784000.00000000058</v>
      </c>
      <c r="E15" s="21" t="s">
        <v>137</v>
      </c>
      <c r="F15" s="27" t="s">
        <v>201</v>
      </c>
    </row>
  </sheetData>
  <sheetProtection sheet="1" objects="1" scenarios="1"/>
  <pageMargins left="0.7" right="0.7" top="0.75" bottom="0.75" header="0.3" footer="0.3"/>
  <pageSetup scale="79" fitToHeight="0" orientation="landscape" r:id="rId1"/>
  <headerFooter>
    <oddHeader>&amp;C&amp;F
&amp;A</oddHeader>
    <oddFooter>&amp;L&amp;P of &amp;N&amp;R5/30/2024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18DE5513688A429E04423FD727C1BA" ma:contentTypeVersion="0" ma:contentTypeDescription="Create a new document." ma:contentTypeScope="" ma:versionID="69c39a07ad1c1d1852449f4adcd7ebe1">
  <xsd:schema xmlns:xsd="http://www.w3.org/2001/XMLSchema" xmlns:xs="http://www.w3.org/2001/XMLSchema" xmlns:p="http://schemas.microsoft.com/office/2006/metadata/properties" targetNamespace="http://schemas.microsoft.com/office/2006/metadata/properties" ma:root="true" ma:fieldsID="94dbb02b89fbbc2de30e7f5747dc75b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501F88-7FDF-4358-872D-F0F579E43296}">
  <ds:schemaRefs>
    <ds:schemaRef ds:uri="http://purl.org/dc/elements/1.1/"/>
    <ds:schemaRef ds:uri="http://schemas.microsoft.com/office/2006/documentManagement/types"/>
    <ds:schemaRef ds:uri="http://schemas.microsoft.com/office/infopath/2007/PartnerControls"/>
    <ds:schemaRef ds:uri="http://purl.org/dc/terms/"/>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44E3071-911C-4BFE-9C43-454734E38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0E60B1F-CC2F-4D93-A6BD-F3DD5D84DC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 About This File</vt:lpstr>
      <vt:lpstr>Exhibit 1 - PPCP Variables</vt:lpstr>
      <vt:lpstr>Exhibit 2 - PPCP Build</vt:lpstr>
      <vt:lpstr>Exhibit 3 - Enhancement Offset</vt:lpstr>
      <vt:lpstr>'Exhibit 1 - PPCP Variables'!Print_Area</vt:lpstr>
      <vt:lpstr>'Exhibit 3 - Enhancement Offset'!Print_Area</vt:lpstr>
      <vt:lpstr>'Information About This File'!Print_Area</vt:lpstr>
      <vt:lpstr>'Exhibit 2 - PPCP Build'!Print_Titles</vt:lpstr>
    </vt:vector>
  </TitlesOfParts>
  <Company>Center For Medicaid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ACO PC Flex RFA Exhibits and Example Calculations</dc:title>
  <dc:creator>HHS/CMS</dc:creator>
  <cp:keywords>ACO PC Flex RFA Exhibits and Example Calculations</cp:keywords>
  <cp:lastModifiedBy>Rushton, Andrew (CMS/CMMI)</cp:lastModifiedBy>
  <cp:lastPrinted>2024-05-24T18:20:54Z</cp:lastPrinted>
  <dcterms:created xsi:type="dcterms:W3CDTF">2024-04-01T18:22:59Z</dcterms:created>
  <dcterms:modified xsi:type="dcterms:W3CDTF">2024-05-30T13:15:00Z</dcterms:modified>
  <cp:category>ACO PC Flex RFA Exhibits and Example Calculations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0x010100EB18DE5513688A429E04423FD727C1BA</vt:lpwstr>
  </property>
  <property fmtid="{D5CDD505-2E9C-101B-9397-08002B2CF9AE}" pid="3" name="MediaServiceImageTags">
    <vt:lpwstr/>
  </property>
</Properties>
</file>